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709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veslo/Documents/ČVS/ČOV/Loterijní finance/2018/"/>
    </mc:Choice>
  </mc:AlternateContent>
  <xr:revisionPtr revIDLastSave="0" documentId="8_{17514D2C-80D8-8C40-82A2-69CEE55CDABA}" xr6:coauthVersionLast="34" xr6:coauthVersionMax="34" xr10:uidLastSave="{00000000-0000-0000-0000-000000000000}"/>
  <bookViews>
    <workbookView xWindow="0" yWindow="460" windowWidth="28800" windowHeight="16340" activeTab="2" xr2:uid="{00000000-000D-0000-FFFF-FFFF00000000}"/>
  </bookViews>
  <sheets>
    <sheet name="7-12_2012" sheetId="1" state="hidden" r:id="rId1"/>
    <sheet name="1-6_2012" sheetId="2" state="hidden" r:id="rId2"/>
    <sheet name="Aktuální stav čerpání" sheetId="6" r:id="rId3"/>
    <sheet name="Společné výdaje" sheetId="10" r:id="rId4"/>
    <sheet name="1.tranše" sheetId="3" r:id="rId5"/>
    <sheet name="2.tranše" sheetId="5" r:id="rId6"/>
    <sheet name="3.tranše" sheetId="7" r:id="rId7"/>
    <sheet name="4.tranše" sheetId="9" r:id="rId8"/>
    <sheet name="5.tranše" sheetId="11" r:id="rId9"/>
    <sheet name="6.tranše" sheetId="12" r:id="rId10"/>
    <sheet name="7.tranše" sheetId="13" r:id="rId11"/>
    <sheet name="8.tranše" sheetId="14" r:id="rId12"/>
    <sheet name="9.tranše" sheetId="16" r:id="rId13"/>
    <sheet name="10.tranše" sheetId="17" r:id="rId14"/>
    <sheet name="11.tranše" sheetId="18" r:id="rId15"/>
    <sheet name="12.tranše" sheetId="19" r:id="rId16"/>
    <sheet name="Odměny repre 2017" sheetId="21" r:id="rId17"/>
    <sheet name="List1" sheetId="15" r:id="rId18"/>
  </sheets>
  <definedNames>
    <definedName name="_xlnm._FilterDatabase" localSheetId="4" hidden="1">'1.tranše'!$A$16:$G$16</definedName>
    <definedName name="_xlnm._FilterDatabase" localSheetId="13" hidden="1">'10.tranše'!$A$18:$G$18</definedName>
    <definedName name="_xlnm._FilterDatabase" localSheetId="14" hidden="1">'11.tranše'!$A$18:$G$18</definedName>
    <definedName name="_xlnm._FilterDatabase" localSheetId="15" hidden="1">'12.tranše'!$A$17:$G$17</definedName>
    <definedName name="_xlnm._FilterDatabase" localSheetId="5" hidden="1">'2.tranše'!$A$16:$G$16</definedName>
    <definedName name="_xlnm._FilterDatabase" localSheetId="6" hidden="1">'3.tranše'!$A$16:$G$16</definedName>
    <definedName name="_xlnm._FilterDatabase" localSheetId="7" hidden="1">'4.tranše'!$A$16:$G$16</definedName>
    <definedName name="_xlnm._FilterDatabase" localSheetId="8" hidden="1">'5.tranše'!$A$16:$G$16</definedName>
    <definedName name="_xlnm._FilterDatabase" localSheetId="9" hidden="1">'6.tranše'!$A$16:$G$16</definedName>
    <definedName name="_xlnm._FilterDatabase" localSheetId="10" hidden="1">'7.tranše'!$A$16:$G$16</definedName>
    <definedName name="_xlnm._FilterDatabase" localSheetId="11" hidden="1">'8.tranše'!$A$16:$G$16</definedName>
    <definedName name="_xlnm._FilterDatabase" localSheetId="12" hidden="1">'9.tranše'!$A$18:$G$18</definedName>
    <definedName name="_xlnm._FilterDatabase" localSheetId="2" hidden="1">'Aktuální stav čerpání'!$A$18:$D$18</definedName>
    <definedName name="_xlnm._FilterDatabase" localSheetId="16" hidden="1">'Odměny repre 2017'!$A$11:$A$11</definedName>
  </definedNames>
  <calcPr calcId="162913"/>
</workbook>
</file>

<file path=xl/calcChain.xml><?xml version="1.0" encoding="utf-8"?>
<calcChain xmlns="http://schemas.openxmlformats.org/spreadsheetml/2006/main">
  <c r="B59" i="6" l="1"/>
  <c r="B58" i="6"/>
  <c r="B57" i="6"/>
  <c r="B56" i="6"/>
  <c r="B55" i="6"/>
  <c r="B54" i="6"/>
  <c r="B53" i="6"/>
  <c r="B52" i="6"/>
  <c r="B51" i="6"/>
  <c r="B50" i="6"/>
  <c r="B49" i="6"/>
  <c r="B48" i="6"/>
  <c r="B47" i="6"/>
  <c r="B46" i="6"/>
  <c r="B45" i="6"/>
  <c r="B44" i="6"/>
  <c r="B43" i="6"/>
  <c r="B42" i="6"/>
  <c r="B41" i="6"/>
  <c r="B40" i="6"/>
  <c r="B39" i="6"/>
  <c r="B38" i="6"/>
  <c r="B37" i="6"/>
  <c r="B36" i="6"/>
  <c r="B35" i="6"/>
  <c r="B34" i="6"/>
  <c r="B33" i="6"/>
  <c r="B32" i="6"/>
  <c r="B31" i="6"/>
  <c r="B30" i="6"/>
  <c r="B29" i="6"/>
  <c r="B28" i="6"/>
  <c r="B27" i="6"/>
  <c r="B26" i="6"/>
  <c r="B25" i="6"/>
  <c r="B24" i="6"/>
  <c r="B23" i="6"/>
  <c r="B22" i="6"/>
  <c r="B21" i="6"/>
  <c r="B20" i="6"/>
  <c r="B19" i="6"/>
  <c r="C14" i="6"/>
  <c r="B54" i="21" l="1"/>
  <c r="D58" i="6" l="1"/>
  <c r="D57" i="6"/>
  <c r="D53" i="6"/>
  <c r="D48" i="6"/>
  <c r="D46" i="6"/>
  <c r="D45" i="6"/>
  <c r="D44" i="6"/>
  <c r="D41" i="6"/>
  <c r="D40" i="6"/>
  <c r="D37" i="6"/>
  <c r="D34" i="6"/>
  <c r="D33" i="6"/>
  <c r="D32" i="6"/>
  <c r="D29" i="6"/>
  <c r="D28" i="6"/>
  <c r="D26" i="6"/>
  <c r="D25" i="6"/>
  <c r="D24" i="6"/>
  <c r="D22" i="6"/>
  <c r="D20" i="6"/>
  <c r="C12" i="6"/>
  <c r="C10" i="6"/>
  <c r="D61" i="19"/>
  <c r="C60" i="19"/>
  <c r="B60" i="19"/>
  <c r="E58" i="19"/>
  <c r="E56" i="19"/>
  <c r="E54" i="19"/>
  <c r="E52" i="19"/>
  <c r="E50" i="19"/>
  <c r="E48" i="19"/>
  <c r="E46" i="19"/>
  <c r="E44" i="19"/>
  <c r="E42" i="19"/>
  <c r="E40" i="19"/>
  <c r="E38" i="19"/>
  <c r="E36" i="19"/>
  <c r="E34" i="19"/>
  <c r="E32" i="19"/>
  <c r="E30" i="19"/>
  <c r="E28" i="19"/>
  <c r="E26" i="19"/>
  <c r="E24" i="19"/>
  <c r="E22" i="19"/>
  <c r="E20" i="19"/>
  <c r="E18" i="19"/>
  <c r="E16" i="19"/>
  <c r="E61" i="19"/>
  <c r="D58" i="19"/>
  <c r="F58" i="19"/>
  <c r="D57" i="19"/>
  <c r="D56" i="19"/>
  <c r="F56" i="19"/>
  <c r="D55" i="19"/>
  <c r="F55" i="19"/>
  <c r="D54" i="19"/>
  <c r="F54" i="19"/>
  <c r="D53" i="19"/>
  <c r="D52" i="19"/>
  <c r="F52" i="19"/>
  <c r="D51" i="19"/>
  <c r="F51" i="19"/>
  <c r="D50" i="19"/>
  <c r="F50" i="19"/>
  <c r="D49" i="19"/>
  <c r="D48" i="19"/>
  <c r="F48" i="19"/>
  <c r="D47" i="19"/>
  <c r="F47" i="19"/>
  <c r="D46" i="19"/>
  <c r="F46" i="19"/>
  <c r="D45" i="19"/>
  <c r="D44" i="19"/>
  <c r="F44" i="19"/>
  <c r="D43" i="19"/>
  <c r="F43" i="19"/>
  <c r="D42" i="19"/>
  <c r="F42" i="19"/>
  <c r="D41" i="19"/>
  <c r="D40" i="19"/>
  <c r="F40" i="19"/>
  <c r="D39" i="19"/>
  <c r="F39" i="19"/>
  <c r="D38" i="19"/>
  <c r="F38" i="19"/>
  <c r="D37" i="19"/>
  <c r="D36" i="19"/>
  <c r="F36" i="19"/>
  <c r="D35" i="19"/>
  <c r="F35" i="19"/>
  <c r="D34" i="19"/>
  <c r="F34" i="19"/>
  <c r="D33" i="19"/>
  <c r="D32" i="19"/>
  <c r="F32" i="19"/>
  <c r="D31" i="19"/>
  <c r="F31" i="19"/>
  <c r="D30" i="19"/>
  <c r="F30" i="19"/>
  <c r="D29" i="19"/>
  <c r="D28" i="19"/>
  <c r="F28" i="19"/>
  <c r="D27" i="19"/>
  <c r="F27" i="19"/>
  <c r="D26" i="19"/>
  <c r="F26" i="19"/>
  <c r="D25" i="19"/>
  <c r="D24" i="19"/>
  <c r="F24" i="19"/>
  <c r="D23" i="19"/>
  <c r="F23" i="19"/>
  <c r="D22" i="19"/>
  <c r="F22" i="19"/>
  <c r="D21" i="19"/>
  <c r="D20" i="19"/>
  <c r="F20" i="19"/>
  <c r="D19" i="19"/>
  <c r="F19" i="19"/>
  <c r="D18" i="19"/>
  <c r="E19" i="19"/>
  <c r="E60" i="19"/>
  <c r="E21" i="19"/>
  <c r="E23" i="19"/>
  <c r="E25" i="19"/>
  <c r="E27" i="19"/>
  <c r="E29" i="19"/>
  <c r="E31" i="19"/>
  <c r="E33" i="19"/>
  <c r="E35" i="19"/>
  <c r="E37" i="19"/>
  <c r="E39" i="19"/>
  <c r="E41" i="19"/>
  <c r="E43" i="19"/>
  <c r="E45" i="19"/>
  <c r="E47" i="19"/>
  <c r="E49" i="19"/>
  <c r="E51" i="19"/>
  <c r="E53" i="19"/>
  <c r="E55" i="19"/>
  <c r="E57" i="19"/>
  <c r="F21" i="19"/>
  <c r="F25" i="19"/>
  <c r="F29" i="19"/>
  <c r="F33" i="19"/>
  <c r="F37" i="19"/>
  <c r="F41" i="19"/>
  <c r="F45" i="19"/>
  <c r="F49" i="19"/>
  <c r="F53" i="19"/>
  <c r="F57" i="19"/>
  <c r="D60" i="19"/>
  <c r="E62" i="19"/>
  <c r="F18" i="19"/>
  <c r="G49" i="19"/>
  <c r="G25" i="19"/>
  <c r="F60" i="19"/>
  <c r="G18" i="19"/>
  <c r="G21" i="19"/>
  <c r="G47" i="19"/>
  <c r="G28" i="19"/>
  <c r="G44" i="19"/>
  <c r="G35" i="19"/>
  <c r="G34" i="19"/>
  <c r="G50" i="19"/>
  <c r="G20" i="19"/>
  <c r="G52" i="19"/>
  <c r="G55" i="19"/>
  <c r="G42" i="19"/>
  <c r="G39" i="19"/>
  <c r="G40" i="19"/>
  <c r="G27" i="19"/>
  <c r="G30" i="19"/>
  <c r="G46" i="19"/>
  <c r="G19" i="19"/>
  <c r="G60" i="19"/>
  <c r="G51" i="19"/>
  <c r="G32" i="19"/>
  <c r="G48" i="19"/>
  <c r="G43" i="19"/>
  <c r="G22" i="19"/>
  <c r="G38" i="19"/>
  <c r="G54" i="19"/>
  <c r="G31" i="19"/>
  <c r="G36" i="19"/>
  <c r="G23" i="19"/>
  <c r="G26" i="19"/>
  <c r="G58" i="19"/>
  <c r="G24" i="19"/>
  <c r="G56" i="19"/>
  <c r="G41" i="19"/>
  <c r="G37" i="19"/>
  <c r="G45" i="19"/>
  <c r="G57" i="19"/>
  <c r="G53" i="19"/>
  <c r="G33" i="19"/>
  <c r="G29" i="19"/>
  <c r="H61" i="18"/>
  <c r="C61" i="18"/>
  <c r="B61" i="18"/>
  <c r="D59" i="18"/>
  <c r="E58" i="18"/>
  <c r="D55" i="18"/>
  <c r="E54" i="18"/>
  <c r="D51" i="18"/>
  <c r="E50" i="18"/>
  <c r="D47" i="18"/>
  <c r="E46" i="18"/>
  <c r="D43" i="18"/>
  <c r="E42" i="18"/>
  <c r="D39" i="18"/>
  <c r="E38" i="18"/>
  <c r="E35" i="18"/>
  <c r="D35" i="18"/>
  <c r="E34" i="18"/>
  <c r="D32" i="18"/>
  <c r="E31" i="18"/>
  <c r="D31" i="18"/>
  <c r="F31" i="18"/>
  <c r="E30" i="18"/>
  <c r="D28" i="18"/>
  <c r="E27" i="18"/>
  <c r="D27" i="18"/>
  <c r="E26" i="18"/>
  <c r="D24" i="18"/>
  <c r="E23" i="18"/>
  <c r="D23" i="18"/>
  <c r="F23" i="18"/>
  <c r="E22" i="18"/>
  <c r="D20" i="18"/>
  <c r="E19" i="18"/>
  <c r="D19" i="18"/>
  <c r="E17" i="18"/>
  <c r="F12" i="18"/>
  <c r="D58" i="18"/>
  <c r="F58" i="18"/>
  <c r="I58" i="18"/>
  <c r="F19" i="18"/>
  <c r="I23" i="18"/>
  <c r="F27" i="18"/>
  <c r="I31" i="18"/>
  <c r="F35" i="18"/>
  <c r="E20" i="18"/>
  <c r="E61" i="18"/>
  <c r="D21" i="18"/>
  <c r="E24" i="18"/>
  <c r="F24" i="18"/>
  <c r="D25" i="18"/>
  <c r="E28" i="18"/>
  <c r="F28" i="18"/>
  <c r="D29" i="18"/>
  <c r="E32" i="18"/>
  <c r="F32" i="18"/>
  <c r="D33" i="18"/>
  <c r="E36" i="18"/>
  <c r="D37" i="18"/>
  <c r="E40" i="18"/>
  <c r="D41" i="18"/>
  <c r="E44" i="18"/>
  <c r="D45" i="18"/>
  <c r="E48" i="18"/>
  <c r="D49" i="18"/>
  <c r="E52" i="18"/>
  <c r="D53" i="18"/>
  <c r="E56" i="18"/>
  <c r="D57" i="18"/>
  <c r="E62" i="18"/>
  <c r="D36" i="18"/>
  <c r="F36" i="18"/>
  <c r="E39" i="18"/>
  <c r="F39" i="18"/>
  <c r="D40" i="18"/>
  <c r="E43" i="18"/>
  <c r="F43" i="18"/>
  <c r="D44" i="18"/>
  <c r="F44" i="18"/>
  <c r="E47" i="18"/>
  <c r="F47" i="18"/>
  <c r="D48" i="18"/>
  <c r="E51" i="18"/>
  <c r="F51" i="18"/>
  <c r="D52" i="18"/>
  <c r="F52" i="18"/>
  <c r="E55" i="18"/>
  <c r="F55" i="18"/>
  <c r="D56" i="18"/>
  <c r="E59" i="18"/>
  <c r="F59" i="18"/>
  <c r="D62" i="18"/>
  <c r="E21" i="18"/>
  <c r="D22" i="18"/>
  <c r="F22" i="18"/>
  <c r="E25" i="18"/>
  <c r="D26" i="18"/>
  <c r="F26" i="18"/>
  <c r="E29" i="18"/>
  <c r="D30" i="18"/>
  <c r="F30" i="18"/>
  <c r="E33" i="18"/>
  <c r="D34" i="18"/>
  <c r="F34" i="18"/>
  <c r="E37" i="18"/>
  <c r="D38" i="18"/>
  <c r="F38" i="18"/>
  <c r="E41" i="18"/>
  <c r="D42" i="18"/>
  <c r="F42" i="18"/>
  <c r="E45" i="18"/>
  <c r="D46" i="18"/>
  <c r="F46" i="18"/>
  <c r="E49" i="18"/>
  <c r="D50" i="18"/>
  <c r="F50" i="18"/>
  <c r="E53" i="18"/>
  <c r="D54" i="18"/>
  <c r="F54" i="18"/>
  <c r="E57" i="18"/>
  <c r="I59" i="18"/>
  <c r="I51" i="18"/>
  <c r="I43" i="18"/>
  <c r="I28" i="18"/>
  <c r="I55" i="18"/>
  <c r="I47" i="18"/>
  <c r="I39" i="18"/>
  <c r="I32" i="18"/>
  <c r="I24" i="18"/>
  <c r="I19" i="18"/>
  <c r="I42" i="18"/>
  <c r="I34" i="18"/>
  <c r="I26" i="18"/>
  <c r="I52" i="18"/>
  <c r="I44" i="18"/>
  <c r="I36" i="18"/>
  <c r="F53" i="18"/>
  <c r="F45" i="18"/>
  <c r="F37" i="18"/>
  <c r="F29" i="18"/>
  <c r="F21" i="18"/>
  <c r="D61" i="18"/>
  <c r="E63" i="18"/>
  <c r="I35" i="18"/>
  <c r="I27" i="18"/>
  <c r="I50" i="18"/>
  <c r="I54" i="18"/>
  <c r="I46" i="18"/>
  <c r="I38" i="18"/>
  <c r="I30" i="18"/>
  <c r="I22" i="18"/>
  <c r="F56" i="18"/>
  <c r="F48" i="18"/>
  <c r="F40" i="18"/>
  <c r="F57" i="18"/>
  <c r="F49" i="18"/>
  <c r="F41" i="18"/>
  <c r="F33" i="18"/>
  <c r="F25" i="18"/>
  <c r="F20" i="18"/>
  <c r="C61" i="17"/>
  <c r="B61" i="17"/>
  <c r="E17" i="17"/>
  <c r="F12" i="17"/>
  <c r="E59" i="17"/>
  <c r="I57" i="18"/>
  <c r="G45" i="18"/>
  <c r="I45" i="18"/>
  <c r="I33" i="18"/>
  <c r="I40" i="18"/>
  <c r="G40" i="18"/>
  <c r="I21" i="18"/>
  <c r="G53" i="18"/>
  <c r="I53" i="18"/>
  <c r="I25" i="18"/>
  <c r="G41" i="18"/>
  <c r="I41" i="18"/>
  <c r="I48" i="18"/>
  <c r="I29" i="18"/>
  <c r="G29" i="18"/>
  <c r="I20" i="18"/>
  <c r="I61" i="18"/>
  <c r="G49" i="18"/>
  <c r="I49" i="18"/>
  <c r="I56" i="18"/>
  <c r="G56" i="18"/>
  <c r="G37" i="18"/>
  <c r="I37" i="18"/>
  <c r="F61" i="18"/>
  <c r="E22" i="17"/>
  <c r="E24" i="17"/>
  <c r="E28" i="17"/>
  <c r="E30" i="17"/>
  <c r="E34" i="17"/>
  <c r="E38" i="17"/>
  <c r="E40" i="17"/>
  <c r="E44" i="17"/>
  <c r="E46" i="17"/>
  <c r="E50" i="17"/>
  <c r="D19" i="17"/>
  <c r="D21" i="17"/>
  <c r="D23" i="17"/>
  <c r="D25" i="17"/>
  <c r="D27" i="17"/>
  <c r="F27" i="17"/>
  <c r="D29" i="17"/>
  <c r="D31" i="17"/>
  <c r="D33" i="17"/>
  <c r="D35" i="17"/>
  <c r="F35" i="17"/>
  <c r="D37" i="17"/>
  <c r="D39" i="17"/>
  <c r="D41" i="17"/>
  <c r="D43" i="17"/>
  <c r="F43" i="17"/>
  <c r="D45" i="17"/>
  <c r="D47" i="17"/>
  <c r="D49" i="17"/>
  <c r="D51" i="17"/>
  <c r="F51" i="17"/>
  <c r="D53" i="17"/>
  <c r="D55" i="17"/>
  <c r="D57" i="17"/>
  <c r="D59" i="17"/>
  <c r="F59" i="17"/>
  <c r="E20" i="17"/>
  <c r="E26" i="17"/>
  <c r="E32" i="17"/>
  <c r="E36" i="17"/>
  <c r="E42" i="17"/>
  <c r="E48" i="17"/>
  <c r="E52" i="17"/>
  <c r="E54" i="17"/>
  <c r="E56" i="17"/>
  <c r="E58" i="17"/>
  <c r="E19" i="17"/>
  <c r="E21" i="17"/>
  <c r="E23" i="17"/>
  <c r="E25" i="17"/>
  <c r="E27" i="17"/>
  <c r="E29" i="17"/>
  <c r="E31" i="17"/>
  <c r="E33" i="17"/>
  <c r="E35" i="17"/>
  <c r="E37" i="17"/>
  <c r="E39" i="17"/>
  <c r="E41" i="17"/>
  <c r="E43" i="17"/>
  <c r="E45" i="17"/>
  <c r="E47" i="17"/>
  <c r="E49" i="17"/>
  <c r="E51" i="17"/>
  <c r="E53" i="17"/>
  <c r="E55" i="17"/>
  <c r="E57" i="17"/>
  <c r="E62" i="17"/>
  <c r="D62" i="17"/>
  <c r="D20" i="17"/>
  <c r="F20" i="17"/>
  <c r="D22" i="17"/>
  <c r="F22" i="17"/>
  <c r="D24" i="17"/>
  <c r="F24" i="17"/>
  <c r="D26" i="17"/>
  <c r="F26" i="17"/>
  <c r="D28" i="17"/>
  <c r="D30" i="17"/>
  <c r="F30" i="17"/>
  <c r="D32" i="17"/>
  <c r="F32" i="17"/>
  <c r="D34" i="17"/>
  <c r="F34" i="17"/>
  <c r="D36" i="17"/>
  <c r="D38" i="17"/>
  <c r="F38" i="17"/>
  <c r="D40" i="17"/>
  <c r="D42" i="17"/>
  <c r="F42" i="17"/>
  <c r="D44" i="17"/>
  <c r="F44" i="17"/>
  <c r="D46" i="17"/>
  <c r="F46" i="17"/>
  <c r="D48" i="17"/>
  <c r="F48" i="17"/>
  <c r="D50" i="17"/>
  <c r="F50" i="17"/>
  <c r="D52" i="17"/>
  <c r="F52" i="17"/>
  <c r="D54" i="17"/>
  <c r="D56" i="17"/>
  <c r="F56" i="17"/>
  <c r="D58" i="17"/>
  <c r="F58" i="17"/>
  <c r="C8" i="10"/>
  <c r="G31" i="18"/>
  <c r="G58" i="18"/>
  <c r="G23" i="18"/>
  <c r="G59" i="18"/>
  <c r="G43" i="18"/>
  <c r="G32" i="18"/>
  <c r="G35" i="18"/>
  <c r="G55" i="18"/>
  <c r="G39" i="18"/>
  <c r="G34" i="18"/>
  <c r="G52" i="18"/>
  <c r="G36" i="18"/>
  <c r="G50" i="18"/>
  <c r="G46" i="18"/>
  <c r="G30" i="18"/>
  <c r="G51" i="18"/>
  <c r="G28" i="18"/>
  <c r="G24" i="18"/>
  <c r="G27" i="18"/>
  <c r="G47" i="18"/>
  <c r="G19" i="18"/>
  <c r="G42" i="18"/>
  <c r="G26" i="18"/>
  <c r="G44" i="18"/>
  <c r="G54" i="18"/>
  <c r="G38" i="18"/>
  <c r="G22" i="18"/>
  <c r="G20" i="18"/>
  <c r="G48" i="18"/>
  <c r="G25" i="18"/>
  <c r="G21" i="18"/>
  <c r="G33" i="18"/>
  <c r="G57" i="18"/>
  <c r="F36" i="17"/>
  <c r="F28" i="17"/>
  <c r="F53" i="17"/>
  <c r="F45" i="17"/>
  <c r="F37" i="17"/>
  <c r="F29" i="17"/>
  <c r="F21" i="17"/>
  <c r="F40" i="17"/>
  <c r="E61" i="17"/>
  <c r="E63" i="17"/>
  <c r="F57" i="17"/>
  <c r="F49" i="17"/>
  <c r="F41" i="17"/>
  <c r="F33" i="17"/>
  <c r="F25" i="17"/>
  <c r="D61" i="17"/>
  <c r="F19" i="17"/>
  <c r="F54" i="17"/>
  <c r="F55" i="17"/>
  <c r="F47" i="17"/>
  <c r="F39" i="17"/>
  <c r="F31" i="17"/>
  <c r="F23" i="17"/>
  <c r="C61" i="16"/>
  <c r="B61" i="16"/>
  <c r="E17" i="16"/>
  <c r="E62" i="16"/>
  <c r="F12" i="16"/>
  <c r="D62" i="16"/>
  <c r="G61" i="18"/>
  <c r="G25" i="17"/>
  <c r="G53" i="17"/>
  <c r="G41" i="17"/>
  <c r="G33" i="17"/>
  <c r="F61" i="17"/>
  <c r="G57" i="17"/>
  <c r="G49" i="17"/>
  <c r="D19" i="16"/>
  <c r="D20" i="16"/>
  <c r="F20" i="16"/>
  <c r="D21" i="16"/>
  <c r="D22" i="16"/>
  <c r="D23" i="16"/>
  <c r="D24" i="16"/>
  <c r="F24" i="16"/>
  <c r="D25" i="16"/>
  <c r="D26" i="16"/>
  <c r="D27" i="16"/>
  <c r="D28" i="16"/>
  <c r="F28" i="16"/>
  <c r="D29" i="16"/>
  <c r="D30" i="16"/>
  <c r="D31" i="16"/>
  <c r="D32" i="16"/>
  <c r="F32" i="16"/>
  <c r="D33" i="16"/>
  <c r="D34" i="16"/>
  <c r="D35" i="16"/>
  <c r="D36" i="16"/>
  <c r="F36" i="16"/>
  <c r="D37" i="16"/>
  <c r="D38" i="16"/>
  <c r="D39" i="16"/>
  <c r="D40" i="16"/>
  <c r="F40" i="16"/>
  <c r="D41" i="16"/>
  <c r="D42" i="16"/>
  <c r="D43" i="16"/>
  <c r="D44" i="16"/>
  <c r="F44" i="16"/>
  <c r="D45" i="16"/>
  <c r="D46" i="16"/>
  <c r="D47" i="16"/>
  <c r="D48" i="16"/>
  <c r="F48" i="16"/>
  <c r="D49" i="16"/>
  <c r="D50" i="16"/>
  <c r="D51" i="16"/>
  <c r="D52" i="16"/>
  <c r="F52" i="16"/>
  <c r="D53" i="16"/>
  <c r="D54" i="16"/>
  <c r="D55" i="16"/>
  <c r="D56" i="16"/>
  <c r="F56" i="16"/>
  <c r="D57" i="16"/>
  <c r="D58" i="16"/>
  <c r="D59" i="16"/>
  <c r="E19" i="16"/>
  <c r="E20" i="16"/>
  <c r="E21" i="16"/>
  <c r="E22" i="16"/>
  <c r="E23" i="16"/>
  <c r="E24" i="16"/>
  <c r="E25" i="16"/>
  <c r="E26" i="16"/>
  <c r="E27" i="16"/>
  <c r="E28" i="16"/>
  <c r="E29" i="16"/>
  <c r="E30" i="16"/>
  <c r="E31" i="16"/>
  <c r="E32" i="16"/>
  <c r="E33" i="16"/>
  <c r="E34" i="16"/>
  <c r="E35" i="16"/>
  <c r="E36" i="16"/>
  <c r="E37" i="16"/>
  <c r="E38" i="16"/>
  <c r="E39" i="16"/>
  <c r="E40" i="16"/>
  <c r="E41" i="16"/>
  <c r="E42" i="16"/>
  <c r="E43" i="16"/>
  <c r="E44" i="16"/>
  <c r="E45" i="16"/>
  <c r="E46" i="16"/>
  <c r="E47" i="16"/>
  <c r="E48" i="16"/>
  <c r="E49" i="16"/>
  <c r="E50" i="16"/>
  <c r="E51" i="16"/>
  <c r="E52" i="16"/>
  <c r="E53" i="16"/>
  <c r="E54" i="16"/>
  <c r="E55" i="16"/>
  <c r="E56" i="16"/>
  <c r="E57" i="16"/>
  <c r="E58" i="16"/>
  <c r="E59" i="16"/>
  <c r="G45" i="17"/>
  <c r="G39" i="17"/>
  <c r="G37" i="17"/>
  <c r="G29" i="17"/>
  <c r="G50" i="17"/>
  <c r="G58" i="17"/>
  <c r="G27" i="17"/>
  <c r="G32" i="17"/>
  <c r="G42" i="17"/>
  <c r="G30" i="17"/>
  <c r="G52" i="17"/>
  <c r="G59" i="17"/>
  <c r="G48" i="17"/>
  <c r="G46" i="17"/>
  <c r="G26" i="17"/>
  <c r="G34" i="17"/>
  <c r="G56" i="17"/>
  <c r="G24" i="17"/>
  <c r="G51" i="17"/>
  <c r="G22" i="17"/>
  <c r="G20" i="17"/>
  <c r="G44" i="17"/>
  <c r="G43" i="17"/>
  <c r="G38" i="17"/>
  <c r="G35" i="17"/>
  <c r="G23" i="17"/>
  <c r="G54" i="17"/>
  <c r="G21" i="17"/>
  <c r="G47" i="17"/>
  <c r="G36" i="17"/>
  <c r="G19" i="17"/>
  <c r="G28" i="17"/>
  <c r="G31" i="17"/>
  <c r="G40" i="17"/>
  <c r="G55" i="17"/>
  <c r="F58" i="16"/>
  <c r="F54" i="16"/>
  <c r="F50" i="16"/>
  <c r="F46" i="16"/>
  <c r="F42" i="16"/>
  <c r="F38" i="16"/>
  <c r="F34" i="16"/>
  <c r="F30" i="16"/>
  <c r="F26" i="16"/>
  <c r="F22" i="16"/>
  <c r="F57" i="16"/>
  <c r="F53" i="16"/>
  <c r="F49" i="16"/>
  <c r="F45" i="16"/>
  <c r="F41" i="16"/>
  <c r="F37" i="16"/>
  <c r="F33" i="16"/>
  <c r="F29" i="16"/>
  <c r="F25" i="16"/>
  <c r="F21" i="16"/>
  <c r="E61" i="16"/>
  <c r="F59" i="16"/>
  <c r="F55" i="16"/>
  <c r="F51" i="16"/>
  <c r="F47" i="16"/>
  <c r="F43" i="16"/>
  <c r="F39" i="16"/>
  <c r="F35" i="16"/>
  <c r="F31" i="16"/>
  <c r="F27" i="16"/>
  <c r="F23" i="16"/>
  <c r="D61" i="16"/>
  <c r="F19" i="16"/>
  <c r="G61" i="17"/>
  <c r="G35" i="16"/>
  <c r="G45" i="16"/>
  <c r="G38" i="16"/>
  <c r="G23" i="16"/>
  <c r="G55" i="16"/>
  <c r="E63" i="16"/>
  <c r="G33" i="16"/>
  <c r="G26" i="16"/>
  <c r="G58" i="16"/>
  <c r="G43" i="16"/>
  <c r="G21" i="16"/>
  <c r="G53" i="16"/>
  <c r="G46" i="16"/>
  <c r="F61" i="16"/>
  <c r="G19" i="16"/>
  <c r="G47" i="16"/>
  <c r="G25" i="16"/>
  <c r="G41" i="16"/>
  <c r="G34" i="16"/>
  <c r="G50" i="16"/>
  <c r="G51" i="16"/>
  <c r="G52" i="16"/>
  <c r="G36" i="16"/>
  <c r="G20" i="16"/>
  <c r="G61" i="16"/>
  <c r="G48" i="16"/>
  <c r="G32" i="16"/>
  <c r="G44" i="16"/>
  <c r="G28" i="16"/>
  <c r="G56" i="16"/>
  <c r="G40" i="16"/>
  <c r="G24" i="16"/>
  <c r="G37" i="16"/>
  <c r="G27" i="16"/>
  <c r="G49" i="16"/>
  <c r="G39" i="16"/>
  <c r="G22" i="16"/>
  <c r="G57" i="16"/>
  <c r="G31" i="16"/>
  <c r="G30" i="16"/>
  <c r="G59" i="16"/>
  <c r="G42" i="16"/>
  <c r="G54" i="16"/>
  <c r="G29" i="16"/>
  <c r="C61" i="6"/>
  <c r="D59" i="6"/>
  <c r="C59" i="14"/>
  <c r="B59" i="14"/>
  <c r="E57" i="14"/>
  <c r="E55" i="14"/>
  <c r="E53" i="14"/>
  <c r="E51" i="14"/>
  <c r="E49" i="14"/>
  <c r="E47" i="14"/>
  <c r="E45" i="14"/>
  <c r="E43" i="14"/>
  <c r="E41" i="14"/>
  <c r="E39" i="14"/>
  <c r="E37" i="14"/>
  <c r="E35" i="14"/>
  <c r="E33" i="14"/>
  <c r="E31" i="14"/>
  <c r="E29" i="14"/>
  <c r="E27" i="14"/>
  <c r="E25" i="14"/>
  <c r="E23" i="14"/>
  <c r="E21" i="14"/>
  <c r="E19" i="14"/>
  <c r="E17" i="14"/>
  <c r="E15" i="14"/>
  <c r="F10" i="14"/>
  <c r="D57" i="14"/>
  <c r="F57" i="14"/>
  <c r="D56" i="14"/>
  <c r="D55" i="14"/>
  <c r="F55" i="14"/>
  <c r="D54" i="14"/>
  <c r="D53" i="14"/>
  <c r="F53" i="14"/>
  <c r="D52" i="14"/>
  <c r="F52" i="14"/>
  <c r="D51" i="14"/>
  <c r="F51" i="14"/>
  <c r="D50" i="14"/>
  <c r="D49" i="14"/>
  <c r="F49" i="14"/>
  <c r="D48" i="14"/>
  <c r="D47" i="14"/>
  <c r="F47" i="14"/>
  <c r="D46" i="14"/>
  <c r="D45" i="14"/>
  <c r="F45" i="14"/>
  <c r="D44" i="14"/>
  <c r="F44" i="14"/>
  <c r="D43" i="14"/>
  <c r="F43" i="14"/>
  <c r="D42" i="14"/>
  <c r="D41" i="14"/>
  <c r="F41" i="14"/>
  <c r="D40" i="14"/>
  <c r="D39" i="14"/>
  <c r="F39" i="14"/>
  <c r="D38" i="14"/>
  <c r="D37" i="14"/>
  <c r="F37" i="14"/>
  <c r="D36" i="14"/>
  <c r="F36" i="14"/>
  <c r="D35" i="14"/>
  <c r="F35" i="14"/>
  <c r="D34" i="14"/>
  <c r="D33" i="14"/>
  <c r="F33" i="14"/>
  <c r="D32" i="14"/>
  <c r="D31" i="14"/>
  <c r="F31" i="14"/>
  <c r="D30" i="14"/>
  <c r="D29" i="14"/>
  <c r="F29" i="14"/>
  <c r="D28" i="14"/>
  <c r="F28" i="14"/>
  <c r="D27" i="14"/>
  <c r="F27" i="14"/>
  <c r="D26" i="14"/>
  <c r="D25" i="14"/>
  <c r="F25" i="14"/>
  <c r="D24" i="14"/>
  <c r="D23" i="14"/>
  <c r="F23" i="14"/>
  <c r="D22" i="14"/>
  <c r="D21" i="14"/>
  <c r="F21" i="14"/>
  <c r="D20" i="14"/>
  <c r="F20" i="14"/>
  <c r="D19" i="14"/>
  <c r="F19" i="14"/>
  <c r="D18" i="14"/>
  <c r="D17" i="14"/>
  <c r="E60" i="14"/>
  <c r="E18" i="14"/>
  <c r="E59" i="14"/>
  <c r="E20" i="14"/>
  <c r="E22" i="14"/>
  <c r="E24" i="14"/>
  <c r="E26" i="14"/>
  <c r="E28" i="14"/>
  <c r="E30" i="14"/>
  <c r="E32" i="14"/>
  <c r="E34" i="14"/>
  <c r="E36" i="14"/>
  <c r="E38" i="14"/>
  <c r="E40" i="14"/>
  <c r="E42" i="14"/>
  <c r="E44" i="14"/>
  <c r="E46" i="14"/>
  <c r="E48" i="14"/>
  <c r="E50" i="14"/>
  <c r="E52" i="14"/>
  <c r="E54" i="14"/>
  <c r="E56" i="14"/>
  <c r="D60" i="14"/>
  <c r="F24" i="14"/>
  <c r="F32" i="14"/>
  <c r="F40" i="14"/>
  <c r="F48" i="14"/>
  <c r="F56" i="14"/>
  <c r="D59" i="14"/>
  <c r="E61" i="14"/>
  <c r="F17" i="14"/>
  <c r="F18" i="14"/>
  <c r="F22" i="14"/>
  <c r="F26" i="14"/>
  <c r="F30" i="14"/>
  <c r="F34" i="14"/>
  <c r="F38" i="14"/>
  <c r="F42" i="14"/>
  <c r="F46" i="14"/>
  <c r="F50" i="14"/>
  <c r="F54" i="14"/>
  <c r="G54" i="14"/>
  <c r="G38" i="14"/>
  <c r="F59" i="14"/>
  <c r="G17" i="14"/>
  <c r="G48" i="14"/>
  <c r="G50" i="14"/>
  <c r="G34" i="14"/>
  <c r="G18" i="14"/>
  <c r="G30" i="14"/>
  <c r="G56" i="14"/>
  <c r="G40" i="14"/>
  <c r="G31" i="14"/>
  <c r="G47" i="14"/>
  <c r="G25" i="14"/>
  <c r="G41" i="14"/>
  <c r="G57" i="14"/>
  <c r="G19" i="14"/>
  <c r="G59" i="14"/>
  <c r="G35" i="14"/>
  <c r="G51" i="14"/>
  <c r="G28" i="14"/>
  <c r="G44" i="14"/>
  <c r="G29" i="14"/>
  <c r="G45" i="14"/>
  <c r="G23" i="14"/>
  <c r="G39" i="14"/>
  <c r="G55" i="14"/>
  <c r="G33" i="14"/>
  <c r="G49" i="14"/>
  <c r="G27" i="14"/>
  <c r="G43" i="14"/>
  <c r="G20" i="14"/>
  <c r="G36" i="14"/>
  <c r="G52" i="14"/>
  <c r="G21" i="14"/>
  <c r="G37" i="14"/>
  <c r="G53" i="14"/>
  <c r="G26" i="14"/>
  <c r="G24" i="14"/>
  <c r="G46" i="14"/>
  <c r="G32" i="14"/>
  <c r="G22" i="14"/>
  <c r="G42" i="14"/>
  <c r="C58" i="13"/>
  <c r="B58" i="13"/>
  <c r="E15" i="13"/>
  <c r="E59" i="13"/>
  <c r="F10" i="13"/>
  <c r="E56" i="13"/>
  <c r="D59" i="13"/>
  <c r="E18" i="13"/>
  <c r="E26" i="13"/>
  <c r="D17" i="13"/>
  <c r="D18" i="13"/>
  <c r="D19" i="13"/>
  <c r="D20" i="13"/>
  <c r="D21" i="13"/>
  <c r="D22" i="13"/>
  <c r="F22" i="13"/>
  <c r="D23" i="13"/>
  <c r="D24" i="13"/>
  <c r="D25" i="13"/>
  <c r="D26" i="13"/>
  <c r="F26" i="13"/>
  <c r="D27" i="13"/>
  <c r="F27" i="13"/>
  <c r="D28" i="13"/>
  <c r="D29" i="13"/>
  <c r="D30" i="13"/>
  <c r="F30" i="13"/>
  <c r="D31" i="13"/>
  <c r="F31" i="13"/>
  <c r="D32" i="13"/>
  <c r="D33" i="13"/>
  <c r="D34" i="13"/>
  <c r="F34" i="13"/>
  <c r="D35" i="13"/>
  <c r="F35" i="13"/>
  <c r="D36" i="13"/>
  <c r="D37" i="13"/>
  <c r="D38" i="13"/>
  <c r="F38" i="13"/>
  <c r="D39" i="13"/>
  <c r="F39" i="13"/>
  <c r="D40" i="13"/>
  <c r="D41" i="13"/>
  <c r="D42" i="13"/>
  <c r="F42" i="13"/>
  <c r="D43" i="13"/>
  <c r="F43" i="13"/>
  <c r="D44" i="13"/>
  <c r="D45" i="13"/>
  <c r="D46" i="13"/>
  <c r="F46" i="13"/>
  <c r="D47" i="13"/>
  <c r="F47" i="13"/>
  <c r="D48" i="13"/>
  <c r="D49" i="13"/>
  <c r="D50" i="13"/>
  <c r="F50" i="13"/>
  <c r="D51" i="13"/>
  <c r="F51" i="13"/>
  <c r="D52" i="13"/>
  <c r="D53" i="13"/>
  <c r="D54" i="13"/>
  <c r="F54" i="13"/>
  <c r="D55" i="13"/>
  <c r="F55" i="13"/>
  <c r="D56" i="13"/>
  <c r="E17" i="13"/>
  <c r="E19" i="13"/>
  <c r="E20" i="13"/>
  <c r="E21" i="13"/>
  <c r="E22" i="13"/>
  <c r="E23" i="13"/>
  <c r="E24" i="13"/>
  <c r="E25" i="13"/>
  <c r="E27" i="13"/>
  <c r="E28" i="13"/>
  <c r="E29" i="13"/>
  <c r="E30" i="13"/>
  <c r="E31" i="13"/>
  <c r="E32" i="13"/>
  <c r="E33" i="13"/>
  <c r="E34" i="13"/>
  <c r="E35" i="13"/>
  <c r="E36" i="13"/>
  <c r="E37" i="13"/>
  <c r="E38" i="13"/>
  <c r="E39" i="13"/>
  <c r="E40" i="13"/>
  <c r="E41" i="13"/>
  <c r="E42" i="13"/>
  <c r="E43" i="13"/>
  <c r="E44" i="13"/>
  <c r="E45" i="13"/>
  <c r="E46" i="13"/>
  <c r="E47" i="13"/>
  <c r="E48" i="13"/>
  <c r="E49" i="13"/>
  <c r="E50" i="13"/>
  <c r="E51" i="13"/>
  <c r="E52" i="13"/>
  <c r="E53" i="13"/>
  <c r="E54" i="13"/>
  <c r="E55" i="13"/>
  <c r="F18" i="13"/>
  <c r="F56" i="13"/>
  <c r="F20" i="13"/>
  <c r="F17" i="13"/>
  <c r="D58" i="13"/>
  <c r="F23" i="13"/>
  <c r="F19" i="13"/>
  <c r="F52" i="13"/>
  <c r="F48" i="13"/>
  <c r="F44" i="13"/>
  <c r="F40" i="13"/>
  <c r="F36" i="13"/>
  <c r="F32" i="13"/>
  <c r="F28" i="13"/>
  <c r="F24" i="13"/>
  <c r="E58" i="13"/>
  <c r="F53" i="13"/>
  <c r="F49" i="13"/>
  <c r="F45" i="13"/>
  <c r="F41" i="13"/>
  <c r="F37" i="13"/>
  <c r="F33" i="13"/>
  <c r="F29" i="13"/>
  <c r="F25" i="13"/>
  <c r="F21" i="13"/>
  <c r="F58" i="13"/>
  <c r="G29" i="13"/>
  <c r="G32" i="13"/>
  <c r="G49" i="13"/>
  <c r="G25" i="13"/>
  <c r="E60" i="13"/>
  <c r="G52" i="13"/>
  <c r="G50" i="13"/>
  <c r="G34" i="13"/>
  <c r="G18" i="13"/>
  <c r="G43" i="13"/>
  <c r="G27" i="13"/>
  <c r="G54" i="13"/>
  <c r="G38" i="13"/>
  <c r="G22" i="13"/>
  <c r="G47" i="13"/>
  <c r="G31" i="13"/>
  <c r="G56" i="13"/>
  <c r="G42" i="13"/>
  <c r="G26" i="13"/>
  <c r="G51" i="13"/>
  <c r="G35" i="13"/>
  <c r="G46" i="13"/>
  <c r="G30" i="13"/>
  <c r="G55" i="13"/>
  <c r="G39" i="13"/>
  <c r="G20" i="13"/>
  <c r="G41" i="13"/>
  <c r="G45" i="13"/>
  <c r="G28" i="13"/>
  <c r="G48" i="13"/>
  <c r="G21" i="13"/>
  <c r="G24" i="13"/>
  <c r="G44" i="13"/>
  <c r="G23" i="13"/>
  <c r="G37" i="13"/>
  <c r="G36" i="13"/>
  <c r="G40" i="13"/>
  <c r="G19" i="13"/>
  <c r="G33" i="13"/>
  <c r="G53" i="13"/>
  <c r="G17" i="13"/>
  <c r="G58" i="13"/>
  <c r="E21" i="12"/>
  <c r="F10" i="12"/>
  <c r="E15" i="12"/>
  <c r="B58" i="12"/>
  <c r="E17" i="12"/>
  <c r="E20" i="12"/>
  <c r="E22" i="12"/>
  <c r="E23" i="12"/>
  <c r="E27" i="12"/>
  <c r="E29" i="12"/>
  <c r="E31" i="12"/>
  <c r="E34" i="12"/>
  <c r="E37" i="12"/>
  <c r="E38" i="12"/>
  <c r="E42" i="12"/>
  <c r="E43" i="12"/>
  <c r="E45" i="12"/>
  <c r="E49" i="12"/>
  <c r="E50" i="12"/>
  <c r="E53" i="12"/>
  <c r="C58" i="12"/>
  <c r="D19" i="12"/>
  <c r="D46" i="12"/>
  <c r="D47" i="12"/>
  <c r="E59" i="12"/>
  <c r="C56" i="11"/>
  <c r="B56" i="11"/>
  <c r="E15" i="11"/>
  <c r="F10" i="11"/>
  <c r="E54" i="11"/>
  <c r="D19" i="11"/>
  <c r="F19" i="11"/>
  <c r="D31" i="11"/>
  <c r="D35" i="11"/>
  <c r="D47" i="11"/>
  <c r="D51" i="11"/>
  <c r="D18" i="11"/>
  <c r="D34" i="11"/>
  <c r="D38" i="11"/>
  <c r="D50" i="11"/>
  <c r="D17" i="11"/>
  <c r="D25" i="11"/>
  <c r="D33" i="11"/>
  <c r="D49" i="11"/>
  <c r="D53" i="11"/>
  <c r="D20" i="11"/>
  <c r="D28" i="11"/>
  <c r="D36" i="11"/>
  <c r="D44" i="11"/>
  <c r="E18" i="11"/>
  <c r="F18" i="11"/>
  <c r="E19" i="11"/>
  <c r="E23" i="11"/>
  <c r="E24" i="11"/>
  <c r="E28" i="11"/>
  <c r="E37" i="11"/>
  <c r="E41" i="11"/>
  <c r="E46" i="11"/>
  <c r="E51" i="11"/>
  <c r="C56" i="9"/>
  <c r="B56" i="9"/>
  <c r="E15" i="9"/>
  <c r="F11" i="9"/>
  <c r="D30" i="9"/>
  <c r="D17" i="9"/>
  <c r="D33" i="9"/>
  <c r="D37" i="9"/>
  <c r="D53" i="9"/>
  <c r="D34" i="9"/>
  <c r="D50" i="9"/>
  <c r="D32" i="9"/>
  <c r="D36" i="9"/>
  <c r="D52" i="9"/>
  <c r="D19" i="9"/>
  <c r="D35" i="9"/>
  <c r="D43" i="9"/>
  <c r="D57" i="9"/>
  <c r="E36" i="9"/>
  <c r="D57" i="7"/>
  <c r="C56" i="7"/>
  <c r="B56" i="7"/>
  <c r="E22" i="7"/>
  <c r="D54" i="7"/>
  <c r="F54" i="7"/>
  <c r="D52" i="7"/>
  <c r="D47" i="7"/>
  <c r="D46" i="7"/>
  <c r="D42" i="7"/>
  <c r="F42" i="7"/>
  <c r="D41" i="7"/>
  <c r="D37" i="7"/>
  <c r="D35" i="7"/>
  <c r="D31" i="7"/>
  <c r="F31" i="7"/>
  <c r="D30" i="7"/>
  <c r="D26" i="7"/>
  <c r="D25" i="7"/>
  <c r="D21" i="7"/>
  <c r="D19" i="7"/>
  <c r="E15" i="7"/>
  <c r="D57" i="5"/>
  <c r="C56" i="5"/>
  <c r="D49" i="5"/>
  <c r="B56" i="5"/>
  <c r="D53" i="5"/>
  <c r="D52" i="5"/>
  <c r="D51" i="5"/>
  <c r="D48" i="5"/>
  <c r="D47" i="5"/>
  <c r="D45" i="5"/>
  <c r="D43" i="5"/>
  <c r="D41" i="5"/>
  <c r="D40" i="5"/>
  <c r="D37" i="5"/>
  <c r="D36" i="5"/>
  <c r="D35" i="5"/>
  <c r="D32" i="5"/>
  <c r="D31" i="5"/>
  <c r="D29" i="5"/>
  <c r="D27" i="5"/>
  <c r="D25" i="5"/>
  <c r="D24" i="5"/>
  <c r="D21" i="5"/>
  <c r="D20" i="5"/>
  <c r="D19" i="5"/>
  <c r="E15" i="5"/>
  <c r="C56" i="3"/>
  <c r="D57" i="3"/>
  <c r="B56" i="3"/>
  <c r="E15" i="3"/>
  <c r="D6" i="2"/>
  <c r="D8" i="2"/>
  <c r="C30" i="2"/>
  <c r="C40" i="2"/>
  <c r="C41" i="2"/>
  <c r="B41" i="2"/>
  <c r="E43" i="2"/>
  <c r="F43" i="2"/>
  <c r="G43" i="2"/>
  <c r="H43" i="2"/>
  <c r="D44" i="2"/>
  <c r="H44" i="2"/>
  <c r="J44" i="2"/>
  <c r="J45" i="2"/>
  <c r="K44" i="2"/>
  <c r="N44" i="2"/>
  <c r="K45" i="2"/>
  <c r="D6" i="1"/>
  <c r="D8" i="1"/>
  <c r="C36" i="1"/>
  <c r="C42" i="1"/>
  <c r="B42" i="1"/>
  <c r="E44" i="1"/>
  <c r="F44" i="1"/>
  <c r="G44" i="1"/>
  <c r="G45" i="1"/>
  <c r="G46" i="1"/>
  <c r="D45" i="1"/>
  <c r="D46" i="1"/>
  <c r="F45" i="1"/>
  <c r="H45" i="1"/>
  <c r="J45" i="1"/>
  <c r="K45" i="1"/>
  <c r="N45" i="1"/>
  <c r="F46" i="1"/>
  <c r="H46" i="1"/>
  <c r="J46" i="1"/>
  <c r="K46" i="1"/>
  <c r="E54" i="7"/>
  <c r="E57" i="7"/>
  <c r="E17" i="7"/>
  <c r="E18" i="7"/>
  <c r="E19" i="7"/>
  <c r="F19" i="7"/>
  <c r="E20" i="7"/>
  <c r="E21" i="7"/>
  <c r="F21" i="7"/>
  <c r="E23" i="7"/>
  <c r="E24" i="7"/>
  <c r="E25" i="7"/>
  <c r="E26" i="7"/>
  <c r="F26" i="7"/>
  <c r="E27" i="7"/>
  <c r="E28" i="7"/>
  <c r="E29" i="7"/>
  <c r="E30" i="7"/>
  <c r="F30" i="7"/>
  <c r="E31" i="7"/>
  <c r="E32" i="7"/>
  <c r="E33" i="7"/>
  <c r="E34" i="7"/>
  <c r="E35" i="7"/>
  <c r="E36" i="7"/>
  <c r="E37" i="7"/>
  <c r="F37" i="7"/>
  <c r="E38" i="7"/>
  <c r="E39" i="7"/>
  <c r="E40" i="7"/>
  <c r="E41" i="7"/>
  <c r="E42" i="7"/>
  <c r="E43" i="7"/>
  <c r="E44" i="7"/>
  <c r="E45" i="7"/>
  <c r="E46" i="7"/>
  <c r="F46" i="7"/>
  <c r="E47" i="7"/>
  <c r="F47" i="7"/>
  <c r="E48" i="7"/>
  <c r="E49" i="7"/>
  <c r="E50" i="7"/>
  <c r="E51" i="7"/>
  <c r="E52" i="7"/>
  <c r="F52" i="7"/>
  <c r="E53" i="7"/>
  <c r="E57" i="5"/>
  <c r="E20" i="5"/>
  <c r="F20" i="5"/>
  <c r="E24" i="5"/>
  <c r="F24" i="5"/>
  <c r="E29" i="5"/>
  <c r="F29" i="5"/>
  <c r="E33" i="5"/>
  <c r="E37" i="5"/>
  <c r="E41" i="5"/>
  <c r="E45" i="5"/>
  <c r="F45" i="5"/>
  <c r="E49" i="5"/>
  <c r="E53" i="5"/>
  <c r="F53" i="5"/>
  <c r="D52" i="3"/>
  <c r="D17" i="3"/>
  <c r="D22" i="3"/>
  <c r="D27" i="3"/>
  <c r="D53" i="3"/>
  <c r="E34" i="3"/>
  <c r="E40" i="3"/>
  <c r="F40" i="3"/>
  <c r="E51" i="3"/>
  <c r="F51" i="3"/>
  <c r="E29" i="3"/>
  <c r="E21" i="3"/>
  <c r="D50" i="3"/>
  <c r="D47" i="3"/>
  <c r="D34" i="3"/>
  <c r="D25" i="3"/>
  <c r="D48" i="3"/>
  <c r="D38" i="3"/>
  <c r="E42" i="3"/>
  <c r="F42" i="3"/>
  <c r="E18" i="3"/>
  <c r="E27" i="3"/>
  <c r="F27" i="3"/>
  <c r="E41" i="3"/>
  <c r="D28" i="3"/>
  <c r="D33" i="3"/>
  <c r="D40" i="3"/>
  <c r="D26" i="3"/>
  <c r="D29" i="3"/>
  <c r="D30" i="3"/>
  <c r="D54" i="3"/>
  <c r="D49" i="3"/>
  <c r="D21" i="3"/>
  <c r="F21" i="3"/>
  <c r="D19" i="3"/>
  <c r="D35" i="3"/>
  <c r="D41" i="3"/>
  <c r="D36" i="3"/>
  <c r="D23" i="3"/>
  <c r="D51" i="3"/>
  <c r="D46" i="3"/>
  <c r="D24" i="3"/>
  <c r="D39" i="3"/>
  <c r="D44" i="3"/>
  <c r="D18" i="3"/>
  <c r="D45" i="3"/>
  <c r="D42" i="3"/>
  <c r="D43" i="3"/>
  <c r="D20" i="3"/>
  <c r="D32" i="3"/>
  <c r="D31" i="3"/>
  <c r="D37" i="3"/>
  <c r="F29" i="3"/>
  <c r="F22" i="3"/>
  <c r="G15" i="1"/>
  <c r="G19" i="1"/>
  <c r="G23" i="1"/>
  <c r="G27" i="1"/>
  <c r="G31" i="1"/>
  <c r="G35" i="1"/>
  <c r="G24" i="1"/>
  <c r="G25" i="1"/>
  <c r="G26" i="1"/>
  <c r="G38" i="1"/>
  <c r="G20" i="1"/>
  <c r="G21" i="1"/>
  <c r="G22" i="1"/>
  <c r="G37" i="1"/>
  <c r="G41" i="1"/>
  <c r="G17" i="1"/>
  <c r="G32" i="1"/>
  <c r="G34" i="1"/>
  <c r="G36" i="1"/>
  <c r="G13" i="1"/>
  <c r="G28" i="1"/>
  <c r="G30" i="1"/>
  <c r="G39" i="1"/>
  <c r="G16" i="1"/>
  <c r="G18" i="1"/>
  <c r="G33" i="1"/>
  <c r="G40" i="1"/>
  <c r="G12" i="1"/>
  <c r="G14" i="1"/>
  <c r="G29" i="1"/>
  <c r="F36" i="5"/>
  <c r="F19" i="3"/>
  <c r="F30" i="3"/>
  <c r="D14" i="1"/>
  <c r="D18" i="1"/>
  <c r="D22" i="1"/>
  <c r="D26" i="1"/>
  <c r="D30" i="1"/>
  <c r="D34" i="1"/>
  <c r="D15" i="1"/>
  <c r="D16" i="1"/>
  <c r="D17" i="1"/>
  <c r="D31" i="1"/>
  <c r="D32" i="1"/>
  <c r="D33" i="1"/>
  <c r="D36" i="1"/>
  <c r="D12" i="1"/>
  <c r="D13" i="1"/>
  <c r="D27" i="1"/>
  <c r="D28" i="1"/>
  <c r="D29" i="1"/>
  <c r="D21" i="1"/>
  <c r="D19" i="1"/>
  <c r="F49" i="5"/>
  <c r="E17" i="9"/>
  <c r="E47" i="9"/>
  <c r="E21" i="9"/>
  <c r="E28" i="9"/>
  <c r="E42" i="9"/>
  <c r="E50" i="9"/>
  <c r="F50" i="9"/>
  <c r="D56" i="3"/>
  <c r="F24" i="3"/>
  <c r="F34" i="3"/>
  <c r="F17" i="3"/>
  <c r="D25" i="1"/>
  <c r="D23" i="1"/>
  <c r="E52" i="3"/>
  <c r="F52" i="3"/>
  <c r="E57" i="3"/>
  <c r="E32" i="3"/>
  <c r="F32" i="3"/>
  <c r="E44" i="3"/>
  <c r="F44" i="3"/>
  <c r="E17" i="3"/>
  <c r="E38" i="3"/>
  <c r="F38" i="3"/>
  <c r="E31" i="3"/>
  <c r="F31" i="3"/>
  <c r="E30" i="3"/>
  <c r="E48" i="3"/>
  <c r="F48" i="3"/>
  <c r="E36" i="3"/>
  <c r="F36" i="3"/>
  <c r="E28" i="3"/>
  <c r="F28" i="3"/>
  <c r="E49" i="3"/>
  <c r="F49" i="3"/>
  <c r="E37" i="3"/>
  <c r="F37" i="3"/>
  <c r="E50" i="3"/>
  <c r="E33" i="3"/>
  <c r="F33" i="3"/>
  <c r="E24" i="3"/>
  <c r="E54" i="3"/>
  <c r="F54" i="3"/>
  <c r="E45" i="3"/>
  <c r="F45" i="3"/>
  <c r="E47" i="3"/>
  <c r="F47" i="3"/>
  <c r="E39" i="3"/>
  <c r="F39" i="3"/>
  <c r="E35" i="3"/>
  <c r="F35" i="3"/>
  <c r="E54" i="5"/>
  <c r="E17" i="5"/>
  <c r="E19" i="5"/>
  <c r="F19" i="5"/>
  <c r="E21" i="5"/>
  <c r="F21" i="5"/>
  <c r="E23" i="5"/>
  <c r="E25" i="5"/>
  <c r="F25" i="5"/>
  <c r="E28" i="5"/>
  <c r="E30" i="5"/>
  <c r="E32" i="5"/>
  <c r="F32" i="5"/>
  <c r="E34" i="5"/>
  <c r="E36" i="5"/>
  <c r="E38" i="5"/>
  <c r="E40" i="5"/>
  <c r="F40" i="5"/>
  <c r="E42" i="5"/>
  <c r="E44" i="5"/>
  <c r="E46" i="5"/>
  <c r="E48" i="5"/>
  <c r="F48" i="5"/>
  <c r="E50" i="5"/>
  <c r="E52" i="5"/>
  <c r="F52" i="5"/>
  <c r="F37" i="5"/>
  <c r="F25" i="7"/>
  <c r="F35" i="7"/>
  <c r="E45" i="9"/>
  <c r="E31" i="9"/>
  <c r="F52" i="9"/>
  <c r="F17" i="9"/>
  <c r="F46" i="12"/>
  <c r="D18" i="12"/>
  <c r="D23" i="12"/>
  <c r="F23" i="12"/>
  <c r="D28" i="12"/>
  <c r="D34" i="12"/>
  <c r="F34" i="12"/>
  <c r="D39" i="12"/>
  <c r="D44" i="12"/>
  <c r="D50" i="12"/>
  <c r="F50" i="12"/>
  <c r="D56" i="12"/>
  <c r="F56" i="12"/>
  <c r="D20" i="12"/>
  <c r="F20" i="12"/>
  <c r="D27" i="12"/>
  <c r="F27" i="12"/>
  <c r="D35" i="12"/>
  <c r="D42" i="12"/>
  <c r="F42" i="12"/>
  <c r="D48" i="12"/>
  <c r="D22" i="12"/>
  <c r="F22" i="12"/>
  <c r="D30" i="12"/>
  <c r="D36" i="12"/>
  <c r="F36" i="12"/>
  <c r="D43" i="12"/>
  <c r="F43" i="12"/>
  <c r="D51" i="12"/>
  <c r="D24" i="12"/>
  <c r="F24" i="12"/>
  <c r="D38" i="12"/>
  <c r="F38" i="12"/>
  <c r="D52" i="12"/>
  <c r="D26" i="12"/>
  <c r="D40" i="12"/>
  <c r="F40" i="12"/>
  <c r="D54" i="12"/>
  <c r="F54" i="12"/>
  <c r="F18" i="3"/>
  <c r="F46" i="3"/>
  <c r="F41" i="3"/>
  <c r="E46" i="3"/>
  <c r="E23" i="3"/>
  <c r="F23" i="3"/>
  <c r="E20" i="3"/>
  <c r="F20" i="3"/>
  <c r="E53" i="3"/>
  <c r="F53" i="3"/>
  <c r="E51" i="5"/>
  <c r="F51" i="5"/>
  <c r="E47" i="5"/>
  <c r="F47" i="5"/>
  <c r="E43" i="5"/>
  <c r="F43" i="5"/>
  <c r="E39" i="5"/>
  <c r="E35" i="5"/>
  <c r="F35" i="5"/>
  <c r="E31" i="5"/>
  <c r="F31" i="5"/>
  <c r="E27" i="5"/>
  <c r="F27" i="5"/>
  <c r="D35" i="1"/>
  <c r="D20" i="1"/>
  <c r="F36" i="9"/>
  <c r="F49" i="11"/>
  <c r="F51" i="11"/>
  <c r="D32" i="12"/>
  <c r="F43" i="3"/>
  <c r="E43" i="3"/>
  <c r="E26" i="3"/>
  <c r="F26" i="3"/>
  <c r="F50" i="3"/>
  <c r="E25" i="3"/>
  <c r="F25" i="3"/>
  <c r="E19" i="3"/>
  <c r="E22" i="3"/>
  <c r="E26" i="5"/>
  <c r="E22" i="5"/>
  <c r="E18" i="5"/>
  <c r="E56" i="7"/>
  <c r="D24" i="1"/>
  <c r="D45" i="2"/>
  <c r="F41" i="5"/>
  <c r="F41" i="7"/>
  <c r="E39" i="9"/>
  <c r="E24" i="9"/>
  <c r="F28" i="11"/>
  <c r="D55" i="12"/>
  <c r="D31" i="12"/>
  <c r="F31" i="12"/>
  <c r="E44" i="2"/>
  <c r="E45" i="2"/>
  <c r="G44" i="2"/>
  <c r="G45" i="2"/>
  <c r="F35" i="9"/>
  <c r="F30" i="9"/>
  <c r="E45" i="1"/>
  <c r="E46" i="1"/>
  <c r="H44" i="1"/>
  <c r="H45" i="2"/>
  <c r="F44" i="2"/>
  <c r="F45" i="2"/>
  <c r="D51" i="7"/>
  <c r="F51" i="7"/>
  <c r="D53" i="7"/>
  <c r="F53" i="7"/>
  <c r="D48" i="7"/>
  <c r="F48" i="7"/>
  <c r="D44" i="7"/>
  <c r="F44" i="7"/>
  <c r="D40" i="7"/>
  <c r="F40" i="7"/>
  <c r="D36" i="7"/>
  <c r="F36" i="7"/>
  <c r="D32" i="7"/>
  <c r="F32" i="7"/>
  <c r="D28" i="7"/>
  <c r="F28" i="7"/>
  <c r="D24" i="7"/>
  <c r="F24" i="7"/>
  <c r="D20" i="7"/>
  <c r="F20" i="7"/>
  <c r="D50" i="7"/>
  <c r="F50" i="7"/>
  <c r="D45" i="7"/>
  <c r="F45" i="7"/>
  <c r="D39" i="7"/>
  <c r="F39" i="7"/>
  <c r="D34" i="7"/>
  <c r="F34" i="7"/>
  <c r="D29" i="7"/>
  <c r="F29" i="7"/>
  <c r="D23" i="7"/>
  <c r="F23" i="7"/>
  <c r="D18" i="7"/>
  <c r="F18" i="7"/>
  <c r="D49" i="7"/>
  <c r="F49" i="7"/>
  <c r="D43" i="7"/>
  <c r="F43" i="7"/>
  <c r="D38" i="7"/>
  <c r="F38" i="7"/>
  <c r="D33" i="7"/>
  <c r="F33" i="7"/>
  <c r="D27" i="7"/>
  <c r="F27" i="7"/>
  <c r="D22" i="7"/>
  <c r="F22" i="7"/>
  <c r="D17" i="7"/>
  <c r="F37" i="9"/>
  <c r="E54" i="9"/>
  <c r="D22" i="9"/>
  <c r="D29" i="9"/>
  <c r="D45" i="9"/>
  <c r="F45" i="9"/>
  <c r="D38" i="9"/>
  <c r="F38" i="9"/>
  <c r="D54" i="9"/>
  <c r="D28" i="9"/>
  <c r="F28" i="9"/>
  <c r="D44" i="9"/>
  <c r="D23" i="9"/>
  <c r="F23" i="9"/>
  <c r="D39" i="9"/>
  <c r="F39" i="9"/>
  <c r="E57" i="9"/>
  <c r="E19" i="9"/>
  <c r="F19" i="9"/>
  <c r="E22" i="9"/>
  <c r="E25" i="9"/>
  <c r="E27" i="9"/>
  <c r="E30" i="9"/>
  <c r="E32" i="9"/>
  <c r="F32" i="9"/>
  <c r="E35" i="9"/>
  <c r="E38" i="9"/>
  <c r="E41" i="9"/>
  <c r="E43" i="9"/>
  <c r="F43" i="9"/>
  <c r="E46" i="9"/>
  <c r="E49" i="9"/>
  <c r="E52" i="9"/>
  <c r="D26" i="9"/>
  <c r="F26" i="9"/>
  <c r="D21" i="9"/>
  <c r="D41" i="9"/>
  <c r="D42" i="9"/>
  <c r="F42" i="9"/>
  <c r="D20" i="9"/>
  <c r="F20" i="9"/>
  <c r="D40" i="9"/>
  <c r="D27" i="9"/>
  <c r="F27" i="9"/>
  <c r="D47" i="9"/>
  <c r="F47" i="9"/>
  <c r="E18" i="9"/>
  <c r="E23" i="9"/>
  <c r="E26" i="9"/>
  <c r="E29" i="9"/>
  <c r="E33" i="9"/>
  <c r="F33" i="9"/>
  <c r="E37" i="9"/>
  <c r="E40" i="9"/>
  <c r="E44" i="9"/>
  <c r="E51" i="9"/>
  <c r="D18" i="9"/>
  <c r="D25" i="9"/>
  <c r="F25" i="9"/>
  <c r="D49" i="9"/>
  <c r="F49" i="9"/>
  <c r="D46" i="9"/>
  <c r="F46" i="9"/>
  <c r="D24" i="9"/>
  <c r="D48" i="9"/>
  <c r="D31" i="9"/>
  <c r="F31" i="9"/>
  <c r="D51" i="9"/>
  <c r="F51" i="9"/>
  <c r="E20" i="9"/>
  <c r="E34" i="9"/>
  <c r="F34" i="9"/>
  <c r="E48" i="9"/>
  <c r="E53" i="9"/>
  <c r="F53" i="9"/>
  <c r="E20" i="11"/>
  <c r="E30" i="11"/>
  <c r="E34" i="11"/>
  <c r="F34" i="11"/>
  <c r="E39" i="11"/>
  <c r="E44" i="11"/>
  <c r="F44" i="11"/>
  <c r="E47" i="11"/>
  <c r="F47" i="11"/>
  <c r="E52" i="11"/>
  <c r="D17" i="5"/>
  <c r="D23" i="5"/>
  <c r="D28" i="5"/>
  <c r="F28" i="5"/>
  <c r="D33" i="5"/>
  <c r="F33" i="5"/>
  <c r="D39" i="5"/>
  <c r="D44" i="5"/>
  <c r="F44" i="5"/>
  <c r="E49" i="11"/>
  <c r="E40" i="11"/>
  <c r="E36" i="11"/>
  <c r="F36" i="11"/>
  <c r="E31" i="11"/>
  <c r="F31" i="11"/>
  <c r="E27" i="11"/>
  <c r="E57" i="11"/>
  <c r="D52" i="11"/>
  <c r="D37" i="11"/>
  <c r="F37" i="11"/>
  <c r="D54" i="11"/>
  <c r="F54" i="11"/>
  <c r="D30" i="11"/>
  <c r="F30" i="11"/>
  <c r="D43" i="11"/>
  <c r="E56" i="12"/>
  <c r="E54" i="12"/>
  <c r="E47" i="12"/>
  <c r="F47" i="12"/>
  <c r="E39" i="12"/>
  <c r="E33" i="12"/>
  <c r="E26" i="12"/>
  <c r="D54" i="5"/>
  <c r="F54" i="5"/>
  <c r="D50" i="5"/>
  <c r="D46" i="5"/>
  <c r="F46" i="5"/>
  <c r="D42" i="5"/>
  <c r="D38" i="5"/>
  <c r="F38" i="5"/>
  <c r="D34" i="5"/>
  <c r="D30" i="5"/>
  <c r="F30" i="5"/>
  <c r="D26" i="5"/>
  <c r="F26" i="5"/>
  <c r="D22" i="5"/>
  <c r="F22" i="5"/>
  <c r="D18" i="5"/>
  <c r="F18" i="5"/>
  <c r="F20" i="11"/>
  <c r="F35" i="11"/>
  <c r="D23" i="11"/>
  <c r="F23" i="11"/>
  <c r="D39" i="11"/>
  <c r="F39" i="11"/>
  <c r="D26" i="11"/>
  <c r="D42" i="11"/>
  <c r="F42" i="11"/>
  <c r="D29" i="11"/>
  <c r="D45" i="11"/>
  <c r="D32" i="11"/>
  <c r="D48" i="11"/>
  <c r="F48" i="11"/>
  <c r="D57" i="11"/>
  <c r="E22" i="11"/>
  <c r="E26" i="11"/>
  <c r="E33" i="11"/>
  <c r="F33" i="11"/>
  <c r="E43" i="11"/>
  <c r="E48" i="11"/>
  <c r="E50" i="11"/>
  <c r="F50" i="11"/>
  <c r="E53" i="11"/>
  <c r="F53" i="11"/>
  <c r="D27" i="11"/>
  <c r="D22" i="11"/>
  <c r="F22" i="11"/>
  <c r="D46" i="11"/>
  <c r="F46" i="11"/>
  <c r="D21" i="11"/>
  <c r="F21" i="11"/>
  <c r="D41" i="11"/>
  <c r="F41" i="11"/>
  <c r="D24" i="11"/>
  <c r="F24" i="11"/>
  <c r="D40" i="11"/>
  <c r="E17" i="11"/>
  <c r="E21" i="11"/>
  <c r="E25" i="11"/>
  <c r="F25" i="11"/>
  <c r="E29" i="11"/>
  <c r="E32" i="11"/>
  <c r="E35" i="11"/>
  <c r="E38" i="11"/>
  <c r="F38" i="11"/>
  <c r="E42" i="11"/>
  <c r="E45" i="11"/>
  <c r="E18" i="12"/>
  <c r="E58" i="12"/>
  <c r="E25" i="12"/>
  <c r="E30" i="12"/>
  <c r="E35" i="12"/>
  <c r="E41" i="12"/>
  <c r="E46" i="12"/>
  <c r="E51" i="12"/>
  <c r="E55" i="12"/>
  <c r="E19" i="12"/>
  <c r="F19" i="12"/>
  <c r="E24" i="12"/>
  <c r="E28" i="12"/>
  <c r="E32" i="12"/>
  <c r="E36" i="12"/>
  <c r="E40" i="12"/>
  <c r="E44" i="12"/>
  <c r="E48" i="12"/>
  <c r="E52" i="12"/>
  <c r="D17" i="12"/>
  <c r="D21" i="12"/>
  <c r="F21" i="12"/>
  <c r="D25" i="12"/>
  <c r="F25" i="12"/>
  <c r="D29" i="12"/>
  <c r="F29" i="12"/>
  <c r="D33" i="12"/>
  <c r="F33" i="12"/>
  <c r="D37" i="12"/>
  <c r="F37" i="12"/>
  <c r="D41" i="12"/>
  <c r="F41" i="12"/>
  <c r="D45" i="12"/>
  <c r="F45" i="12"/>
  <c r="D49" i="12"/>
  <c r="F49" i="12"/>
  <c r="D53" i="12"/>
  <c r="F53" i="12"/>
  <c r="D59" i="12"/>
  <c r="D35" i="6"/>
  <c r="D38" i="6"/>
  <c r="D27" i="6"/>
  <c r="D23" i="6"/>
  <c r="E56" i="11"/>
  <c r="E58" i="11"/>
  <c r="D56" i="11"/>
  <c r="D55" i="6"/>
  <c r="E56" i="5"/>
  <c r="D49" i="6"/>
  <c r="F21" i="1"/>
  <c r="H21" i="1"/>
  <c r="F22" i="1"/>
  <c r="H22" i="1"/>
  <c r="G42" i="1"/>
  <c r="H17" i="1"/>
  <c r="F40" i="11"/>
  <c r="F32" i="11"/>
  <c r="F26" i="11"/>
  <c r="F42" i="5"/>
  <c r="F17" i="11"/>
  <c r="F44" i="9"/>
  <c r="F55" i="12"/>
  <c r="F32" i="12"/>
  <c r="F30" i="12"/>
  <c r="F35" i="12"/>
  <c r="F28" i="12"/>
  <c r="D56" i="9"/>
  <c r="F56" i="3"/>
  <c r="D42" i="1"/>
  <c r="H40" i="1"/>
  <c r="H39" i="1"/>
  <c r="D58" i="12"/>
  <c r="E60" i="12"/>
  <c r="F17" i="12"/>
  <c r="F45" i="11"/>
  <c r="F23" i="5"/>
  <c r="F48" i="9"/>
  <c r="F41" i="9"/>
  <c r="F29" i="9"/>
  <c r="E13" i="1"/>
  <c r="F13" i="1"/>
  <c r="H13" i="1"/>
  <c r="E17" i="1"/>
  <c r="E21" i="1"/>
  <c r="E25" i="1"/>
  <c r="F25" i="1"/>
  <c r="H25" i="1"/>
  <c r="E29" i="1"/>
  <c r="F29" i="1"/>
  <c r="H29" i="1"/>
  <c r="E33" i="1"/>
  <c r="E36" i="1"/>
  <c r="E37" i="1"/>
  <c r="F37" i="1"/>
  <c r="H37" i="1"/>
  <c r="E38" i="1"/>
  <c r="F38" i="1"/>
  <c r="H38" i="1"/>
  <c r="E39" i="1"/>
  <c r="F39" i="1"/>
  <c r="E40" i="1"/>
  <c r="F40" i="1"/>
  <c r="E41" i="1"/>
  <c r="F41" i="1"/>
  <c r="H41" i="1"/>
  <c r="E18" i="1"/>
  <c r="F18" i="1"/>
  <c r="H18" i="1"/>
  <c r="E19" i="1"/>
  <c r="E20" i="1"/>
  <c r="F20" i="1"/>
  <c r="H20" i="1"/>
  <c r="E34" i="1"/>
  <c r="F34" i="1"/>
  <c r="H34" i="1"/>
  <c r="E35" i="1"/>
  <c r="F35" i="1"/>
  <c r="H35" i="1"/>
  <c r="E14" i="1"/>
  <c r="E15" i="1"/>
  <c r="F15" i="1"/>
  <c r="H15" i="1"/>
  <c r="E16" i="1"/>
  <c r="F16" i="1"/>
  <c r="H16" i="1"/>
  <c r="E30" i="1"/>
  <c r="F30" i="1"/>
  <c r="H30" i="1"/>
  <c r="E31" i="1"/>
  <c r="F31" i="1"/>
  <c r="H31" i="1"/>
  <c r="E32" i="1"/>
  <c r="F32" i="1"/>
  <c r="H32" i="1"/>
  <c r="E26" i="1"/>
  <c r="E28" i="1"/>
  <c r="F28" i="1"/>
  <c r="H28" i="1"/>
  <c r="E22" i="1"/>
  <c r="E24" i="1"/>
  <c r="F24" i="1"/>
  <c r="H24" i="1"/>
  <c r="E12" i="1"/>
  <c r="E27" i="1"/>
  <c r="E23" i="1"/>
  <c r="G12" i="2"/>
  <c r="G16" i="2"/>
  <c r="G20" i="2"/>
  <c r="G24" i="2"/>
  <c r="G28" i="2"/>
  <c r="H28" i="2"/>
  <c r="G31" i="2"/>
  <c r="G35" i="2"/>
  <c r="H35" i="2"/>
  <c r="G39" i="2"/>
  <c r="G13" i="2"/>
  <c r="G25" i="2"/>
  <c r="G26" i="2"/>
  <c r="H26" i="2"/>
  <c r="G27" i="2"/>
  <c r="G30" i="2"/>
  <c r="G19" i="2"/>
  <c r="G22" i="2"/>
  <c r="H22" i="2"/>
  <c r="G29" i="2"/>
  <c r="G33" i="2"/>
  <c r="G36" i="2"/>
  <c r="G40" i="2"/>
  <c r="H40" i="2"/>
  <c r="G15" i="2"/>
  <c r="G18" i="2"/>
  <c r="G21" i="2"/>
  <c r="H21" i="2"/>
  <c r="G32" i="2"/>
  <c r="H32" i="2"/>
  <c r="G34" i="2"/>
  <c r="G37" i="2"/>
  <c r="H37" i="2"/>
  <c r="G38" i="2"/>
  <c r="G14" i="2"/>
  <c r="G17" i="2"/>
  <c r="G23" i="2"/>
  <c r="G26" i="3"/>
  <c r="G23" i="3"/>
  <c r="F26" i="12"/>
  <c r="F51" i="12"/>
  <c r="F44" i="12"/>
  <c r="G35" i="3"/>
  <c r="D39" i="6"/>
  <c r="G37" i="3"/>
  <c r="E56" i="3"/>
  <c r="E58" i="3"/>
  <c r="D54" i="6"/>
  <c r="E56" i="9"/>
  <c r="E58" i="9"/>
  <c r="F36" i="1"/>
  <c r="H36" i="1"/>
  <c r="F17" i="1"/>
  <c r="F14" i="1"/>
  <c r="H14" i="1"/>
  <c r="D21" i="6"/>
  <c r="H33" i="1"/>
  <c r="F27" i="11"/>
  <c r="F29" i="11"/>
  <c r="F34" i="5"/>
  <c r="F50" i="5"/>
  <c r="F43" i="11"/>
  <c r="F52" i="11"/>
  <c r="F39" i="5"/>
  <c r="D56" i="5"/>
  <c r="F17" i="5"/>
  <c r="F24" i="9"/>
  <c r="F18" i="9"/>
  <c r="F40" i="9"/>
  <c r="F21" i="9"/>
  <c r="F54" i="9"/>
  <c r="F22" i="9"/>
  <c r="F17" i="7"/>
  <c r="D56" i="7"/>
  <c r="E58" i="7"/>
  <c r="E14" i="2"/>
  <c r="E18" i="2"/>
  <c r="E22" i="2"/>
  <c r="E26" i="2"/>
  <c r="E33" i="2"/>
  <c r="E37" i="2"/>
  <c r="E40" i="2"/>
  <c r="E19" i="2"/>
  <c r="E20" i="2"/>
  <c r="E21" i="2"/>
  <c r="E38" i="2"/>
  <c r="E39" i="2"/>
  <c r="E25" i="2"/>
  <c r="E28" i="2"/>
  <c r="E32" i="2"/>
  <c r="E35" i="2"/>
  <c r="E12" i="2"/>
  <c r="E17" i="2"/>
  <c r="E24" i="2"/>
  <c r="E27" i="2"/>
  <c r="E31" i="2"/>
  <c r="E34" i="2"/>
  <c r="E16" i="2"/>
  <c r="E13" i="2"/>
  <c r="E30" i="2"/>
  <c r="E23" i="2"/>
  <c r="E36" i="2"/>
  <c r="E15" i="2"/>
  <c r="E29" i="2"/>
  <c r="D15" i="2"/>
  <c r="D19" i="2"/>
  <c r="D23" i="2"/>
  <c r="F23" i="2"/>
  <c r="D27" i="2"/>
  <c r="F27" i="2"/>
  <c r="D30" i="2"/>
  <c r="D34" i="2"/>
  <c r="F34" i="2"/>
  <c r="D38" i="2"/>
  <c r="F38" i="2"/>
  <c r="D16" i="2"/>
  <c r="F16" i="2"/>
  <c r="D17" i="2"/>
  <c r="F17" i="2"/>
  <c r="D18" i="2"/>
  <c r="F18" i="2"/>
  <c r="D35" i="2"/>
  <c r="F35" i="2"/>
  <c r="D36" i="2"/>
  <c r="F36" i="2"/>
  <c r="D37" i="2"/>
  <c r="F37" i="2"/>
  <c r="D40" i="2"/>
  <c r="F40" i="2"/>
  <c r="D12" i="2"/>
  <c r="D14" i="2"/>
  <c r="F14" i="2"/>
  <c r="D21" i="2"/>
  <c r="F21" i="2"/>
  <c r="D24" i="2"/>
  <c r="F24" i="2"/>
  <c r="D31" i="2"/>
  <c r="D20" i="2"/>
  <c r="F20" i="2"/>
  <c r="D13" i="2"/>
  <c r="D32" i="2"/>
  <c r="F32" i="2"/>
  <c r="D22" i="2"/>
  <c r="F22" i="2"/>
  <c r="D25" i="2"/>
  <c r="F25" i="2"/>
  <c r="D28" i="2"/>
  <c r="F28" i="2"/>
  <c r="D33" i="2"/>
  <c r="D26" i="2"/>
  <c r="F26" i="2"/>
  <c r="D29" i="2"/>
  <c r="F29" i="2"/>
  <c r="D39" i="2"/>
  <c r="F52" i="12"/>
  <c r="F48" i="12"/>
  <c r="F39" i="12"/>
  <c r="F18" i="12"/>
  <c r="G39" i="3"/>
  <c r="D51" i="6"/>
  <c r="G44" i="3"/>
  <c r="F23" i="1"/>
  <c r="H23" i="1"/>
  <c r="F19" i="1"/>
  <c r="H19" i="1"/>
  <c r="F27" i="1"/>
  <c r="H27" i="1"/>
  <c r="F33" i="1"/>
  <c r="F26" i="1"/>
  <c r="H26" i="1"/>
  <c r="D31" i="6"/>
  <c r="G48" i="12"/>
  <c r="E41" i="2"/>
  <c r="G22" i="9"/>
  <c r="G51" i="12"/>
  <c r="H14" i="2"/>
  <c r="H20" i="2"/>
  <c r="G27" i="3"/>
  <c r="G42" i="3"/>
  <c r="G29" i="3"/>
  <c r="G21" i="3"/>
  <c r="G40" i="3"/>
  <c r="G51" i="3"/>
  <c r="G28" i="12"/>
  <c r="G20" i="3"/>
  <c r="G50" i="3"/>
  <c r="G55" i="12"/>
  <c r="G31" i="3"/>
  <c r="E58" i="5"/>
  <c r="G41" i="3"/>
  <c r="G25" i="3"/>
  <c r="F31" i="2"/>
  <c r="H31" i="2"/>
  <c r="F12" i="2"/>
  <c r="D41" i="2"/>
  <c r="G39" i="5"/>
  <c r="G50" i="5"/>
  <c r="G44" i="12"/>
  <c r="G26" i="12"/>
  <c r="H38" i="2"/>
  <c r="H36" i="2"/>
  <c r="H25" i="2"/>
  <c r="H16" i="2"/>
  <c r="E42" i="1"/>
  <c r="G41" i="9"/>
  <c r="F12" i="1"/>
  <c r="G17" i="3"/>
  <c r="G45" i="3"/>
  <c r="D52" i="6"/>
  <c r="G34" i="3"/>
  <c r="D43" i="6"/>
  <c r="G43" i="3"/>
  <c r="G28" i="3"/>
  <c r="D42" i="6"/>
  <c r="G49" i="3"/>
  <c r="G52" i="12"/>
  <c r="F33" i="2"/>
  <c r="F19" i="2"/>
  <c r="H19" i="2"/>
  <c r="G48" i="3"/>
  <c r="G54" i="3"/>
  <c r="F56" i="9"/>
  <c r="G18" i="3"/>
  <c r="H23" i="2"/>
  <c r="H18" i="2"/>
  <c r="H33" i="2"/>
  <c r="G41" i="2"/>
  <c r="D19" i="6"/>
  <c r="D47" i="6"/>
  <c r="G35" i="12"/>
  <c r="G46" i="3"/>
  <c r="D36" i="6"/>
  <c r="G47" i="3"/>
  <c r="G53" i="3"/>
  <c r="D30" i="6"/>
  <c r="F39" i="2"/>
  <c r="F13" i="2"/>
  <c r="H13" i="2"/>
  <c r="F30" i="2"/>
  <c r="H30" i="2"/>
  <c r="F15" i="2"/>
  <c r="F56" i="7"/>
  <c r="G21" i="9"/>
  <c r="F56" i="5"/>
  <c r="G19" i="3"/>
  <c r="G52" i="3"/>
  <c r="D50" i="6"/>
  <c r="D56" i="6"/>
  <c r="H17" i="2"/>
  <c r="H34" i="2"/>
  <c r="H15" i="2"/>
  <c r="H29" i="2"/>
  <c r="H27" i="2"/>
  <c r="H39" i="2"/>
  <c r="H24" i="2"/>
  <c r="G29" i="9"/>
  <c r="F58" i="12"/>
  <c r="G17" i="12"/>
  <c r="G30" i="3"/>
  <c r="G38" i="3"/>
  <c r="G30" i="12"/>
  <c r="G32" i="12"/>
  <c r="F56" i="11"/>
  <c r="G17" i="11"/>
  <c r="G22" i="3"/>
  <c r="G24" i="3"/>
  <c r="G36" i="3"/>
  <c r="G32" i="3"/>
  <c r="G33" i="3"/>
  <c r="G19" i="11"/>
  <c r="G56" i="11"/>
  <c r="G18" i="11"/>
  <c r="G50" i="11"/>
  <c r="G34" i="11"/>
  <c r="G48" i="11"/>
  <c r="G39" i="11"/>
  <c r="G37" i="11"/>
  <c r="G41" i="11"/>
  <c r="G53" i="11"/>
  <c r="G31" i="11"/>
  <c r="G38" i="11"/>
  <c r="G42" i="11"/>
  <c r="G46" i="11"/>
  <c r="G24" i="11"/>
  <c r="G20" i="11"/>
  <c r="G36" i="11"/>
  <c r="G51" i="11"/>
  <c r="G47" i="11"/>
  <c r="G44" i="11"/>
  <c r="G25" i="11"/>
  <c r="G21" i="11"/>
  <c r="G35" i="11"/>
  <c r="G30" i="11"/>
  <c r="G28" i="11"/>
  <c r="G54" i="11"/>
  <c r="G22" i="11"/>
  <c r="G33" i="11"/>
  <c r="G49" i="11"/>
  <c r="G23" i="11"/>
  <c r="G52" i="11"/>
  <c r="G47" i="7"/>
  <c r="G52" i="7"/>
  <c r="G26" i="7"/>
  <c r="G31" i="7"/>
  <c r="G54" i="7"/>
  <c r="G21" i="7"/>
  <c r="G30" i="7"/>
  <c r="G19" i="7"/>
  <c r="G42" i="7"/>
  <c r="G46" i="7"/>
  <c r="G37" i="7"/>
  <c r="G29" i="7"/>
  <c r="G27" i="7"/>
  <c r="G36" i="7"/>
  <c r="G24" i="7"/>
  <c r="G45" i="7"/>
  <c r="G50" i="7"/>
  <c r="G25" i="7"/>
  <c r="G49" i="7"/>
  <c r="G53" i="7"/>
  <c r="G33" i="7"/>
  <c r="G40" i="7"/>
  <c r="G28" i="7"/>
  <c r="G22" i="7"/>
  <c r="G32" i="7"/>
  <c r="G34" i="7"/>
  <c r="G18" i="7"/>
  <c r="G51" i="7"/>
  <c r="G38" i="7"/>
  <c r="G44" i="7"/>
  <c r="G43" i="7"/>
  <c r="G48" i="7"/>
  <c r="G41" i="7"/>
  <c r="G20" i="7"/>
  <c r="G39" i="7"/>
  <c r="G23" i="7"/>
  <c r="G35" i="7"/>
  <c r="G20" i="9"/>
  <c r="G23" i="9"/>
  <c r="G30" i="9"/>
  <c r="G52" i="9"/>
  <c r="G42" i="9"/>
  <c r="G50" i="9"/>
  <c r="G25" i="9"/>
  <c r="G17" i="9"/>
  <c r="G19" i="9"/>
  <c r="G53" i="9"/>
  <c r="G26" i="9"/>
  <c r="G38" i="9"/>
  <c r="G31" i="9"/>
  <c r="G36" i="9"/>
  <c r="G27" i="9"/>
  <c r="G39" i="9"/>
  <c r="G51" i="9"/>
  <c r="G43" i="9"/>
  <c r="G49" i="9"/>
  <c r="G45" i="9"/>
  <c r="G35" i="9"/>
  <c r="G34" i="9"/>
  <c r="G33" i="9"/>
  <c r="G46" i="9"/>
  <c r="G32" i="9"/>
  <c r="G47" i="9"/>
  <c r="G37" i="9"/>
  <c r="G28" i="9"/>
  <c r="G27" i="11"/>
  <c r="G56" i="3"/>
  <c r="F41" i="2"/>
  <c r="G26" i="11"/>
  <c r="G45" i="11"/>
  <c r="G20" i="5"/>
  <c r="G53" i="5"/>
  <c r="G45" i="5"/>
  <c r="G29" i="5"/>
  <c r="G24" i="5"/>
  <c r="G27" i="5"/>
  <c r="G31" i="5"/>
  <c r="G38" i="5"/>
  <c r="G26" i="5"/>
  <c r="G41" i="5"/>
  <c r="G32" i="5"/>
  <c r="G18" i="5"/>
  <c r="G51" i="5"/>
  <c r="G52" i="5"/>
  <c r="G21" i="5"/>
  <c r="G54" i="5"/>
  <c r="G49" i="5"/>
  <c r="G37" i="5"/>
  <c r="G36" i="5"/>
  <c r="G44" i="5"/>
  <c r="G47" i="5"/>
  <c r="G19" i="5"/>
  <c r="G43" i="5"/>
  <c r="G25" i="5"/>
  <c r="G48" i="5"/>
  <c r="G30" i="5"/>
  <c r="G22" i="5"/>
  <c r="G33" i="5"/>
  <c r="G28" i="5"/>
  <c r="G40" i="5"/>
  <c r="G46" i="5"/>
  <c r="G35" i="5"/>
  <c r="G17" i="7"/>
  <c r="G42" i="5"/>
  <c r="H12" i="2"/>
  <c r="H41" i="2"/>
  <c r="G34" i="5"/>
  <c r="G32" i="11"/>
  <c r="F42" i="1"/>
  <c r="H12" i="1"/>
  <c r="H42" i="1"/>
  <c r="G18" i="9"/>
  <c r="G48" i="9"/>
  <c r="G43" i="11"/>
  <c r="G40" i="11"/>
  <c r="G25" i="12"/>
  <c r="G54" i="12"/>
  <c r="G22" i="12"/>
  <c r="G20" i="12"/>
  <c r="G19" i="12"/>
  <c r="G58" i="12"/>
  <c r="G31" i="12"/>
  <c r="G38" i="12"/>
  <c r="G56" i="12"/>
  <c r="G53" i="12"/>
  <c r="G49" i="12"/>
  <c r="G27" i="12"/>
  <c r="G36" i="12"/>
  <c r="G34" i="12"/>
  <c r="G37" i="12"/>
  <c r="G40" i="12"/>
  <c r="G50" i="12"/>
  <c r="G33" i="12"/>
  <c r="G45" i="12"/>
  <c r="G43" i="12"/>
  <c r="G47" i="12"/>
  <c r="G41" i="12"/>
  <c r="G42" i="12"/>
  <c r="G46" i="12"/>
  <c r="G21" i="12"/>
  <c r="G24" i="12"/>
  <c r="G23" i="12"/>
  <c r="G29" i="12"/>
  <c r="G17" i="5"/>
  <c r="G44" i="9"/>
  <c r="G24" i="9"/>
  <c r="G39" i="12"/>
  <c r="G23" i="5"/>
  <c r="G29" i="11"/>
  <c r="G54" i="9"/>
  <c r="G18" i="12"/>
  <c r="G40" i="9"/>
  <c r="G56" i="5"/>
  <c r="G56" i="9"/>
  <c r="G56" i="7"/>
  <c r="B61" i="6" l="1"/>
  <c r="C62" i="6" s="1"/>
  <c r="D61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Pepa</author>
  </authors>
  <commentList>
    <comment ref="A34" authorId="0" shapeId="0" xr:uid="{00000000-0006-0000-0100-000001000000}">
      <text>
        <r>
          <rPr>
            <b/>
            <sz val="9"/>
            <color indexed="81"/>
            <rFont val="Tahoma"/>
            <family val="2"/>
            <charset val="238"/>
          </rPr>
          <t>ČVS:</t>
        </r>
        <r>
          <rPr>
            <sz val="9"/>
            <color indexed="81"/>
            <rFont val="Tahoma"/>
            <family val="2"/>
            <charset val="238"/>
          </rPr>
          <t xml:space="preserve">
Vzhledem k soudním sporům o legitimitu vedení klubu budou prostředky do 1.10.2012 deponovány na účtu ČVS. Pokud nebude do tohoto termínu právoplatně určeno, kdo za klub jedná, budou prostředky rozděleny mezi ostatní kluby v oblasti Morava.  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Dušan</author>
    <author>Pepa</author>
  </authors>
  <commentList>
    <comment ref="B16" authorId="0" shapeId="0" xr:uid="{00000000-0006-0000-0B00-000001000000}">
      <text>
        <r>
          <rPr>
            <b/>
            <sz val="9"/>
            <color indexed="81"/>
            <rFont val="Tahoma"/>
            <family val="2"/>
            <charset val="238"/>
          </rPr>
          <t>Dušan:</t>
        </r>
        <r>
          <rPr>
            <sz val="9"/>
            <color indexed="81"/>
            <rFont val="Tahoma"/>
            <family val="2"/>
            <charset val="238"/>
          </rPr>
          <t xml:space="preserve">
prosím revidovat podle všech registrovaných závodníků od 7-18, resp. 23 let</t>
        </r>
      </text>
    </comment>
    <comment ref="C57" authorId="1" shapeId="0" xr:uid="{00000000-0006-0000-0B00-000002000000}">
      <text>
        <r>
          <rPr>
            <b/>
            <sz val="9"/>
            <color indexed="81"/>
            <rFont val="Tahoma"/>
            <family val="2"/>
            <charset val="238"/>
          </rPr>
          <t>ČVS: probíhá přeregistrace členů z Spartaku Boletice do SK Hamr - veslování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Dušan</author>
  </authors>
  <commentList>
    <comment ref="B18" authorId="0" shapeId="0" xr:uid="{00000000-0006-0000-0C00-000001000000}">
      <text>
        <r>
          <rPr>
            <b/>
            <sz val="9"/>
            <color indexed="81"/>
            <rFont val="Tahoma"/>
            <family val="2"/>
            <charset val="238"/>
          </rPr>
          <t>Dušan:</t>
        </r>
        <r>
          <rPr>
            <sz val="9"/>
            <color indexed="81"/>
            <rFont val="Tahoma"/>
            <family val="2"/>
            <charset val="238"/>
          </rPr>
          <t xml:space="preserve">
prosím revidovat podle všech registrovaných závodníků od 7-18, resp. 23 let</t>
        </r>
      </text>
    </comment>
  </commentList>
</comments>
</file>

<file path=xl/comments1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Dušan</author>
  </authors>
  <commentList>
    <comment ref="B18" authorId="0" shapeId="0" xr:uid="{00000000-0006-0000-0D00-000001000000}">
      <text>
        <r>
          <rPr>
            <b/>
            <sz val="9"/>
            <color indexed="81"/>
            <rFont val="Tahoma"/>
            <family val="2"/>
            <charset val="238"/>
          </rPr>
          <t>Dušan:</t>
        </r>
        <r>
          <rPr>
            <sz val="9"/>
            <color indexed="81"/>
            <rFont val="Tahoma"/>
            <family val="2"/>
            <charset val="238"/>
          </rPr>
          <t xml:space="preserve">
prosím revidovat podle všech registrovaných závodníků od 7-18, resp. 23 let</t>
        </r>
      </text>
    </comment>
  </commentList>
</comments>
</file>

<file path=xl/comments1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Dušan</author>
  </authors>
  <commentList>
    <comment ref="B18" authorId="0" shapeId="0" xr:uid="{00000000-0006-0000-0E00-000001000000}">
      <text>
        <r>
          <rPr>
            <b/>
            <sz val="9"/>
            <color indexed="81"/>
            <rFont val="Tahoma"/>
            <family val="2"/>
            <charset val="238"/>
          </rPr>
          <t>Dušan:</t>
        </r>
        <r>
          <rPr>
            <sz val="9"/>
            <color indexed="81"/>
            <rFont val="Tahoma"/>
            <family val="2"/>
            <charset val="238"/>
          </rPr>
          <t xml:space="preserve">
prosím revidovat podle všech registrovaných závodníků od 7-18, resp. 23 let</t>
        </r>
      </text>
    </comment>
  </commentList>
</comments>
</file>

<file path=xl/comments1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Dušan</author>
  </authors>
  <commentList>
    <comment ref="B17" authorId="0" shapeId="0" xr:uid="{00000000-0006-0000-0F00-000001000000}">
      <text>
        <r>
          <rPr>
            <b/>
            <sz val="9"/>
            <color indexed="81"/>
            <rFont val="Tahoma"/>
            <family val="2"/>
            <charset val="238"/>
          </rPr>
          <t>Dušan:</t>
        </r>
        <r>
          <rPr>
            <sz val="9"/>
            <color indexed="81"/>
            <rFont val="Tahoma"/>
            <family val="2"/>
            <charset val="238"/>
          </rPr>
          <t xml:space="preserve">
prosím revidovat podle všech registrovaných závodníků od 7-18, resp. 23 let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Pepa</author>
    <author>cvs</author>
  </authors>
  <commentList>
    <comment ref="C13" authorId="0" shapeId="0" xr:uid="{00000000-0006-0000-0200-000001000000}">
      <text>
        <r>
          <rPr>
            <b/>
            <sz val="9"/>
            <color rgb="FF000000"/>
            <rFont val="Tahoma"/>
            <family val="2"/>
            <charset val="238"/>
          </rPr>
          <t>ČVS:</t>
        </r>
        <r>
          <rPr>
            <sz val="9"/>
            <color rgb="FF000000"/>
            <rFont val="Tahoma"/>
            <family val="2"/>
            <charset val="238"/>
          </rPr>
          <t xml:space="preserve">
</t>
        </r>
        <r>
          <rPr>
            <sz val="9"/>
            <color rgb="FF000000"/>
            <rFont val="Tahoma"/>
            <family val="2"/>
            <charset val="238"/>
          </rPr>
          <t>277.248,- Kč 31.11.2017 přesunuto klubům</t>
        </r>
      </text>
    </comment>
    <comment ref="C19" authorId="0" shapeId="0" xr:uid="{00000000-0006-0000-0200-000002000000}">
      <text>
        <r>
          <rPr>
            <b/>
            <sz val="9"/>
            <color rgb="FF000000"/>
            <rFont val="Tahoma"/>
            <family val="2"/>
            <charset val="238"/>
          </rPr>
          <t xml:space="preserve">cvs:
</t>
        </r>
        <r>
          <rPr>
            <sz val="9"/>
            <color rgb="FF000000"/>
            <rFont val="Tahoma"/>
            <family val="2"/>
            <charset val="238"/>
          </rPr>
          <t xml:space="preserve">17.05.2015           15.704,- Kč          Oprava vesel a cvičné lodě pro mládež
</t>
        </r>
        <r>
          <rPr>
            <sz val="9"/>
            <color rgb="FF000000"/>
            <rFont val="Tahoma"/>
            <family val="2"/>
            <charset val="238"/>
          </rPr>
          <t xml:space="preserve">13.12.2016           30.350,- Kč          Oprava lodí pro dorost 
</t>
        </r>
        <r>
          <rPr>
            <sz val="9"/>
            <color rgb="FF000000"/>
            <rFont val="Tahoma"/>
            <family val="2"/>
            <charset val="238"/>
          </rPr>
          <t xml:space="preserve">15.06.2017           40.600,- Kč          Oprava dvojskifu a vesel pro mládež
</t>
        </r>
        <r>
          <rPr>
            <sz val="9"/>
            <color rgb="FF000000"/>
            <rFont val="Tahoma"/>
            <family val="2"/>
            <charset val="238"/>
          </rPr>
          <t xml:space="preserve">18.08.2017           39.800,- Kč          Oprava párové čtyřky pro mládež
</t>
        </r>
        <r>
          <rPr>
            <sz val="9"/>
            <color rgb="FF000000"/>
            <rFont val="Tahoma"/>
            <family val="2"/>
            <charset val="238"/>
          </rPr>
          <t xml:space="preserve">--------------------------------------------------------------------------------------
</t>
        </r>
        <r>
          <rPr>
            <sz val="9"/>
            <color rgb="FF000000"/>
            <rFont val="Tahoma"/>
            <family val="2"/>
            <charset val="238"/>
          </rPr>
          <t xml:space="preserve">CELKEM :          126.454,- Kč 
</t>
        </r>
        <r>
          <rPr>
            <sz val="9"/>
            <color rgb="FF000000"/>
            <rFont val="Tahoma"/>
            <family val="2"/>
            <charset val="238"/>
          </rPr>
          <t xml:space="preserve">
</t>
        </r>
        <r>
          <rPr>
            <sz val="9"/>
            <color rgb="FF000000"/>
            <rFont val="Tahoma"/>
            <family val="2"/>
            <charset val="238"/>
          </rPr>
          <t xml:space="preserve">15.05.2018	37.510,- Kč            oprava osmiveslice pro žactvo
</t>
        </r>
        <r>
          <rPr>
            <sz val="9"/>
            <color rgb="FF000000"/>
            <rFont val="Tahoma"/>
            <family val="2"/>
            <charset val="238"/>
          </rPr>
          <t xml:space="preserve">07.06.2018.       173.453,- Kč	   nákup lodě a vesel
</t>
        </r>
        <r>
          <rPr>
            <sz val="9"/>
            <color rgb="FF000000"/>
            <rFont val="Tahoma"/>
            <family val="2"/>
            <charset val="238"/>
          </rPr>
          <t xml:space="preserve">---------------------------------------------------------------------------------------
</t>
        </r>
        <r>
          <rPr>
            <sz val="9"/>
            <color rgb="FF000000"/>
            <rFont val="Tahoma"/>
            <family val="2"/>
            <charset val="238"/>
          </rPr>
          <t xml:space="preserve">CELKEM :          337.417,- Kč
</t>
        </r>
      </text>
    </comment>
    <comment ref="C20" authorId="1" shapeId="0" xr:uid="{00000000-0006-0000-0200-000003000000}">
      <text>
        <r>
          <rPr>
            <b/>
            <sz val="9"/>
            <color rgb="FF000000"/>
            <rFont val="Tahoma"/>
            <family val="2"/>
            <charset val="238"/>
          </rPr>
          <t>cvs:</t>
        </r>
        <r>
          <rPr>
            <sz val="9"/>
            <color rgb="FF000000"/>
            <rFont val="Tahoma"/>
            <family val="2"/>
            <charset val="238"/>
          </rPr>
          <t xml:space="preserve">
</t>
        </r>
        <r>
          <rPr>
            <sz val="9"/>
            <color rgb="FF000000"/>
            <rFont val="Tahoma"/>
            <family val="2"/>
            <charset val="238"/>
          </rPr>
          <t xml:space="preserve">16.12.2014           108.000,- Kč          Spolufinancování  nákupu veslařské lodě
</t>
        </r>
        <r>
          <rPr>
            <sz val="9"/>
            <color rgb="FF000000"/>
            <rFont val="Tahoma"/>
            <family val="2"/>
            <charset val="238"/>
          </rPr>
          <t xml:space="preserve">03.06.2015             72.000,- Kč          Spolufinancování  nákupu veslařské lodě - doplatek
</t>
        </r>
        <r>
          <rPr>
            <sz val="9"/>
            <color rgb="FF000000"/>
            <rFont val="Tahoma"/>
            <family val="2"/>
            <charset val="238"/>
          </rPr>
          <t xml:space="preserve">23.11.2015             70.000,- Kč          Spolufinancování  nákupu veslařské lodě 
</t>
        </r>
        <r>
          <rPr>
            <sz val="9"/>
            <color rgb="FF000000"/>
            <rFont val="Tahoma"/>
            <family val="2"/>
            <charset val="238"/>
          </rPr>
          <t xml:space="preserve">----------------------------------------------------------------------------------------------
</t>
        </r>
        <r>
          <rPr>
            <sz val="9"/>
            <color rgb="FF000000"/>
            <rFont val="Tahoma"/>
            <family val="2"/>
            <charset val="238"/>
          </rPr>
          <t xml:space="preserve">Mezisoučet          250.000,- Kč
</t>
        </r>
        <r>
          <rPr>
            <sz val="9"/>
            <color rgb="FF000000"/>
            <rFont val="Tahoma"/>
            <family val="2"/>
            <charset val="238"/>
          </rPr>
          <t xml:space="preserve">
</t>
        </r>
        <r>
          <rPr>
            <sz val="9"/>
            <color rgb="FF000000"/>
            <rFont val="Tahoma"/>
            <family val="2"/>
            <charset val="238"/>
          </rPr>
          <t xml:space="preserve">08.03.2016             60.000,- Kč          Spolufinancování  nákupu veslařské lodě 
</t>
        </r>
        <r>
          <rPr>
            <sz val="9"/>
            <color rgb="FF000000"/>
            <rFont val="Tahoma"/>
            <family val="2"/>
            <charset val="238"/>
          </rPr>
          <t xml:space="preserve">24.11.2016             77.400,- Kč          Spolufinancování  nákupu veslařské lodě - záloha
</t>
        </r>
        <r>
          <rPr>
            <sz val="9"/>
            <color rgb="FF000000"/>
            <rFont val="Tahoma"/>
            <family val="2"/>
            <charset val="238"/>
          </rPr>
          <t xml:space="preserve">----------------------------------------------------------------------------------------------
</t>
        </r>
        <r>
          <rPr>
            <sz val="9"/>
            <color rgb="FF000000"/>
            <rFont val="Tahoma"/>
            <family val="2"/>
            <charset val="238"/>
          </rPr>
          <t>CELKEM               387.400,- Kč</t>
        </r>
      </text>
    </comment>
    <comment ref="C21" authorId="0" shapeId="0" xr:uid="{00000000-0006-0000-0200-000004000000}">
      <text>
        <r>
          <rPr>
            <b/>
            <sz val="9"/>
            <color rgb="FF000000"/>
            <rFont val="Tahoma"/>
            <family val="2"/>
            <charset val="238"/>
          </rPr>
          <t xml:space="preserve">cvs:
</t>
        </r>
        <r>
          <rPr>
            <sz val="9"/>
            <color rgb="FF000000"/>
            <rFont val="Tahoma"/>
            <family val="2"/>
            <charset val="238"/>
          </rPr>
          <t xml:space="preserve">30.08.2016           52.265,- Kč          Šatní skříňky do chlapecké šatny
</t>
        </r>
        <r>
          <rPr>
            <sz val="9"/>
            <color rgb="FF000000"/>
            <rFont val="Tahoma"/>
            <family val="2"/>
            <charset val="238"/>
          </rPr>
          <t xml:space="preserve">13.07.2017         350.000,- Kč          Nákup veslařské lodě Empacher
</t>
        </r>
        <r>
          <rPr>
            <sz val="9"/>
            <color rgb="FF000000"/>
            <rFont val="Tahoma"/>
            <family val="2"/>
            <charset val="238"/>
          </rPr>
          <t xml:space="preserve">15.05.2018	 77.710,- Kč          Koupě lodi AVE
</t>
        </r>
        <r>
          <rPr>
            <sz val="9"/>
            <color rgb="FF000000"/>
            <rFont val="Tahoma"/>
            <family val="2"/>
            <charset val="238"/>
          </rPr>
          <t xml:space="preserve">-----------------------------------------------------------------------------
</t>
        </r>
        <r>
          <rPr>
            <sz val="9"/>
            <color rgb="FF000000"/>
            <rFont val="Tahoma"/>
            <family val="2"/>
            <charset val="238"/>
          </rPr>
          <t xml:space="preserve">CELKEM :          402.265,- Kč
</t>
        </r>
      </text>
    </comment>
    <comment ref="C22" authorId="1" shapeId="0" xr:uid="{00000000-0006-0000-0200-000005000000}">
      <text>
        <r>
          <rPr>
            <b/>
            <sz val="9"/>
            <color rgb="FF000000"/>
            <rFont val="Tahoma"/>
            <family val="2"/>
            <charset val="238"/>
          </rPr>
          <t>cvs:</t>
        </r>
        <r>
          <rPr>
            <sz val="9"/>
            <color rgb="FF000000"/>
            <rFont val="Tahoma"/>
            <family val="2"/>
            <charset val="238"/>
          </rPr>
          <t xml:space="preserve">
</t>
        </r>
        <r>
          <rPr>
            <sz val="9"/>
            <color rgb="FF000000"/>
            <rFont val="Tahoma"/>
            <family val="2"/>
            <charset val="238"/>
          </rPr>
          <t xml:space="preserve">26.05.2015           41.610,- Kč          VT Medulin a VT Oboz
</t>
        </r>
        <r>
          <rPr>
            <sz val="9"/>
            <color rgb="FF000000"/>
            <rFont val="Tahoma"/>
            <family val="2"/>
            <charset val="238"/>
          </rPr>
          <t xml:space="preserve">04.08.2015           70.296,- Kč          krakorce a vesla pro žactvo 
</t>
        </r>
        <r>
          <rPr>
            <sz val="9"/>
            <color rgb="FF000000"/>
            <rFont val="Tahoma"/>
            <family val="2"/>
            <charset val="238"/>
          </rPr>
          <t xml:space="preserve">04.11.2015         104.798,- Kč          motor na motorový člun 
</t>
        </r>
        <r>
          <rPr>
            <sz val="9"/>
            <color rgb="FF000000"/>
            <rFont val="Tahoma"/>
            <family val="2"/>
            <charset val="238"/>
          </rPr>
          <t xml:space="preserve">-----------------------------------------------------------------------------------------
</t>
        </r>
        <r>
          <rPr>
            <sz val="9"/>
            <color rgb="FF000000"/>
            <rFont val="Tahoma"/>
            <family val="2"/>
            <charset val="238"/>
          </rPr>
          <t xml:space="preserve">Mezisoučet         216.704,- Kč
</t>
        </r>
        <r>
          <rPr>
            <sz val="9"/>
            <color rgb="FF000000"/>
            <rFont val="Tahoma"/>
            <family val="2"/>
            <charset val="238"/>
          </rPr>
          <t xml:space="preserve">
</t>
        </r>
        <r>
          <rPr>
            <sz val="9"/>
            <color rgb="FF000000"/>
            <rFont val="Tahoma"/>
            <family val="2"/>
            <charset val="238"/>
          </rPr>
          <t xml:space="preserve">20.06.2016         109.095,- Kč          motor a akumulátor na motorový člun
</t>
        </r>
        <r>
          <rPr>
            <sz val="9"/>
            <color rgb="FF000000"/>
            <rFont val="Tahoma"/>
            <family val="2"/>
            <charset val="238"/>
          </rPr>
          <t xml:space="preserve">13.03.2017         109.200,- Kč          VT mládeže 28.1-4.2.2017
</t>
        </r>
        <r>
          <rPr>
            <sz val="9"/>
            <color rgb="FF000000"/>
            <rFont val="Tahoma"/>
            <family val="2"/>
            <charset val="238"/>
          </rPr>
          <t xml:space="preserve">16.06.2017           70.000,- Kč          VT mládeže Medulin 03/2017
</t>
        </r>
        <r>
          <rPr>
            <sz val="9"/>
            <color rgb="FF000000"/>
            <rFont val="Tahoma"/>
            <family val="2"/>
            <charset val="238"/>
          </rPr>
          <t xml:space="preserve">17.10.2018.          70.928,- Kč.         vesla
</t>
        </r>
        <r>
          <rPr>
            <sz val="9"/>
            <color rgb="FF000000"/>
            <rFont val="Tahoma"/>
            <family val="2"/>
            <charset val="238"/>
          </rPr>
          <t xml:space="preserve">27.11.2018.            8.546,- Kč          drobný materiál
</t>
        </r>
        <r>
          <rPr>
            <sz val="9"/>
            <color rgb="FF000000"/>
            <rFont val="Tahoma"/>
            <family val="2"/>
            <charset val="238"/>
          </rPr>
          <t xml:space="preserve">-----------------------------------------------------------------------------------------
</t>
        </r>
        <r>
          <rPr>
            <sz val="9"/>
            <color rgb="FF000000"/>
            <rFont val="Tahoma"/>
            <family val="2"/>
            <charset val="238"/>
          </rPr>
          <t xml:space="preserve">CELKEM              584.473,- Kč
</t>
        </r>
        <r>
          <rPr>
            <sz val="9"/>
            <color rgb="FF000000"/>
            <rFont val="Tahoma"/>
            <family val="2"/>
            <charset val="238"/>
          </rPr>
          <t xml:space="preserve">  </t>
        </r>
      </text>
    </comment>
    <comment ref="C23" authorId="1" shapeId="0" xr:uid="{00000000-0006-0000-0200-000006000000}">
      <text>
        <r>
          <rPr>
            <b/>
            <sz val="9"/>
            <color rgb="FF000000"/>
            <rFont val="Tahoma"/>
            <family val="2"/>
            <charset val="238"/>
          </rPr>
          <t>cvs:</t>
        </r>
        <r>
          <rPr>
            <sz val="9"/>
            <color rgb="FF000000"/>
            <rFont val="Tahoma"/>
            <family val="2"/>
            <charset val="238"/>
          </rPr>
          <t xml:space="preserve">
</t>
        </r>
        <r>
          <rPr>
            <sz val="9"/>
            <color rgb="FF000000"/>
            <rFont val="Tahoma"/>
            <family val="2"/>
            <charset val="238"/>
          </rPr>
          <t xml:space="preserve">19.11.2015           140.000,- Kč          nákup veslařské lodě - skif
</t>
        </r>
        <r>
          <rPr>
            <sz val="9"/>
            <color rgb="FF000000"/>
            <rFont val="Tahoma"/>
            <family val="2"/>
            <charset val="238"/>
          </rPr>
          <t xml:space="preserve">19.04.2017           300.720,- Kč          nákup veslařských lodí </t>
        </r>
      </text>
    </comment>
    <comment ref="C24" authorId="1" shapeId="0" xr:uid="{00000000-0006-0000-0200-000007000000}">
      <text>
        <r>
          <rPr>
            <b/>
            <sz val="9"/>
            <color rgb="FF000000"/>
            <rFont val="Tahoma"/>
            <family val="2"/>
            <charset val="238"/>
          </rPr>
          <t>cvs:</t>
        </r>
        <r>
          <rPr>
            <sz val="9"/>
            <color rgb="FF000000"/>
            <rFont val="Tahoma"/>
            <family val="2"/>
            <charset val="238"/>
          </rPr>
          <t xml:space="preserve">
</t>
        </r>
        <r>
          <rPr>
            <sz val="9"/>
            <color rgb="FF000000"/>
            <rFont val="Tahoma"/>
            <family val="2"/>
            <charset val="238"/>
          </rPr>
          <t xml:space="preserve">17.10.2014             41.989,- Kč          Nákup dynamického trenažéru
</t>
        </r>
        <r>
          <rPr>
            <sz val="9"/>
            <color rgb="FF000000"/>
            <rFont val="Tahoma"/>
            <family val="2"/>
            <charset val="238"/>
          </rPr>
          <t xml:space="preserve">11.07.2016           216.000,- Kč          Nákup 2 ks veslařských lodí a 4 ks nepárových vesel
</t>
        </r>
        <r>
          <rPr>
            <sz val="9"/>
            <color rgb="FF000000"/>
            <rFont val="Tahoma"/>
            <family val="2"/>
            <charset val="238"/>
          </rPr>
          <t xml:space="preserve">15.11.2016           132.754,- Kč          Spolufinancování lodě pro mládež
</t>
        </r>
        <r>
          <rPr>
            <sz val="9"/>
            <color rgb="FF000000"/>
            <rFont val="Tahoma"/>
            <family val="2"/>
            <charset val="238"/>
          </rPr>
          <t xml:space="preserve">-----------------------------------------------------------------------------------------------------
</t>
        </r>
        <r>
          <rPr>
            <sz val="9"/>
            <color rgb="FF000000"/>
            <rFont val="Tahoma"/>
            <family val="2"/>
            <charset val="238"/>
          </rPr>
          <t>CELKEM :           390.743,- Kč</t>
        </r>
      </text>
    </comment>
    <comment ref="C25" authorId="1" shapeId="0" xr:uid="{00000000-0006-0000-0200-000008000000}">
      <text>
        <r>
          <rPr>
            <b/>
            <sz val="9"/>
            <color indexed="81"/>
            <rFont val="Tahoma"/>
            <family val="2"/>
            <charset val="238"/>
          </rPr>
          <t>cvs:</t>
        </r>
        <r>
          <rPr>
            <sz val="9"/>
            <color indexed="81"/>
            <rFont val="Tahoma"/>
            <family val="2"/>
            <charset val="238"/>
          </rPr>
          <t xml:space="preserve">
23.9.2014           55.671,- Kč          Letní VT mládeže
1.12.2014           35.767,- Kč          Nákup veslařské lodě pro mládež
24.6.2015           53.522,- Kč          Oprava žákovské osmiveslice
11. 9.2015          32.470,- Kč          Nepárová vesla 
19.09.2016        123.817,- Kč          Vesla a oprava lodě
------------------------------------------------------------------------------------
Mezisoučet       301.247,- Kč
07.12.2016          13.860,- Kč          Oprava veslařské lodě
09.10.2017          48.690,- Kč          Párová vesla a slajdy na čtyřku pro žáky
------------------------------------------------------------------------------------
Mezisoučet       363.797,- Kč</t>
        </r>
      </text>
    </comment>
    <comment ref="C26" authorId="0" shapeId="0" xr:uid="{00000000-0006-0000-0200-000009000000}">
      <text>
        <r>
          <rPr>
            <b/>
            <sz val="9"/>
            <color indexed="81"/>
            <rFont val="Tahoma"/>
            <family val="2"/>
            <charset val="238"/>
          </rPr>
          <t xml:space="preserve">cvs:
</t>
        </r>
        <r>
          <rPr>
            <sz val="9"/>
            <color indexed="81"/>
            <rFont val="Tahoma"/>
            <family val="2"/>
            <charset val="238"/>
          </rPr>
          <t xml:space="preserve">10.08.2016           121.000,- Kč        Záloha na výrobu vleku na přepravu lodí
26.10.2016           123.214,- Kč        Doplatek vleku pro bládežnické lodě
19.07.2017             52.084,- Kč        Spolufinancování nákupu lodě Wintech 2x
------------------------------------------------------------------------------------
Mezisoučet           296.298,- Kč
</t>
        </r>
      </text>
    </comment>
    <comment ref="C27" authorId="0" shapeId="0" xr:uid="{00000000-0006-0000-0200-00000A000000}">
      <text>
        <r>
          <rPr>
            <b/>
            <sz val="9"/>
            <color rgb="FF000000"/>
            <rFont val="Tahoma"/>
            <family val="2"/>
            <charset val="238"/>
          </rPr>
          <t xml:space="preserve">cvs:
</t>
        </r>
        <r>
          <rPr>
            <sz val="9"/>
            <color rgb="FF000000"/>
            <rFont val="Tahoma"/>
            <family val="2"/>
            <charset val="238"/>
          </rPr>
          <t xml:space="preserve">
</t>
        </r>
        <r>
          <rPr>
            <sz val="9"/>
            <color rgb="FF000000"/>
            <rFont val="Tahoma"/>
            <family val="2"/>
            <charset val="238"/>
          </rPr>
          <t xml:space="preserve">24.01.10.2017       320.000,- Kč        Nákup veslařské lodě pro mládež
</t>
        </r>
        <r>
          <rPr>
            <sz val="9"/>
            <color rgb="FF000000"/>
            <rFont val="Tahoma"/>
            <family val="2"/>
            <charset val="238"/>
          </rPr>
          <t xml:space="preserve">------------------------------------------------------------------------------------
</t>
        </r>
        <r>
          <rPr>
            <sz val="9"/>
            <color rgb="FF000000"/>
            <rFont val="Tahoma"/>
            <family val="2"/>
            <charset val="238"/>
          </rPr>
          <t>Mezisoučet           320.000,- Kč</t>
        </r>
        <r>
          <rPr>
            <b/>
            <sz val="9"/>
            <color rgb="FF000000"/>
            <rFont val="Tahoma"/>
            <family val="2"/>
            <charset val="238"/>
          </rPr>
          <t xml:space="preserve">
</t>
        </r>
      </text>
    </comment>
    <comment ref="C28" authorId="0" shapeId="0" xr:uid="{00000000-0006-0000-0200-00000B000000}">
      <text>
        <r>
          <rPr>
            <b/>
            <sz val="9"/>
            <color indexed="81"/>
            <rFont val="Tahoma"/>
            <family val="2"/>
            <charset val="238"/>
          </rPr>
          <t xml:space="preserve">cvs:
</t>
        </r>
        <r>
          <rPr>
            <sz val="9"/>
            <color indexed="81"/>
            <rFont val="Tahoma"/>
            <family val="2"/>
            <charset val="238"/>
          </rPr>
          <t>18. 2.2016            179.200,- Kč          Veslařské lodě 4x/- a 1x s příslušenstvím 
08. 4.2016              21.868,- Kč          Spolufinancování 1x s příslušenstvím 
11.05.2017             66.810,- Kč          Obal, vesla, spolufinancování lodí pro mládež</t>
        </r>
        <r>
          <rPr>
            <b/>
            <sz val="9"/>
            <color indexed="81"/>
            <rFont val="Tahoma"/>
            <family val="2"/>
            <charset val="238"/>
          </rPr>
          <t xml:space="preserve">
-------------------------------------------------------------------------------------------------------
</t>
        </r>
        <r>
          <rPr>
            <sz val="9"/>
            <color indexed="81"/>
            <rFont val="Tahoma"/>
            <family val="2"/>
            <charset val="238"/>
          </rPr>
          <t xml:space="preserve">Mezisoučet :         267.878,- Kč
</t>
        </r>
      </text>
    </comment>
    <comment ref="C29" authorId="0" shapeId="0" xr:uid="{00000000-0006-0000-0200-00000C000000}">
      <text>
        <r>
          <rPr>
            <b/>
            <sz val="9"/>
            <color indexed="81"/>
            <rFont val="Tahoma"/>
            <family val="2"/>
            <charset val="238"/>
          </rPr>
          <t xml:space="preserve">cvs:
</t>
        </r>
        <r>
          <rPr>
            <sz val="9"/>
            <color indexed="81"/>
            <rFont val="Tahoma"/>
            <family val="2"/>
            <charset val="238"/>
          </rPr>
          <t>20.10.2016           33.033,- Kč          Nákup vesel pro mládež
                         157.000,- Kč          Nákup vleku pro dětské lodě - čeká se na dodání žádosti
09.11.2017           77.138,- Kč          5 párů vesel pro žáky Croker
------------------------------------------------------------------------------
CELKEM :          267.171,- Kč
10.11.2017           39.000,- Kč          5 párů vesel pro žáky Croker
------------------------------------------------------------------------------
CELKEM :          306.171,- Kč</t>
        </r>
      </text>
    </comment>
    <comment ref="C30" authorId="1" shapeId="0" xr:uid="{00000000-0006-0000-0200-00000D000000}">
      <text>
        <r>
          <rPr>
            <b/>
            <sz val="9"/>
            <color indexed="81"/>
            <rFont val="Tahoma"/>
            <family val="2"/>
            <charset val="238"/>
          </rPr>
          <t xml:space="preserve">cvs:
</t>
        </r>
        <r>
          <rPr>
            <sz val="9"/>
            <color indexed="81"/>
            <rFont val="Tahoma"/>
            <family val="2"/>
            <charset val="238"/>
          </rPr>
          <t>06.02.2015           75.000,- Kč          Nákup veslařské lodě 
14.12.2015           88.536,- Kč          Nákup materiálu a ubytování na závodech
13.12.2016         118.000,- Kč          Nákup veslařské lodě pro mládež
-------------------------------------------------------------------------------------------------
Mezisoučet :      281.536,- Kč
02.06.2017          62.010,- Kč          Nákup vesel a veslařské lodě pro mládež
-------------------------------------------------------------------------------------------------
Mezisoučet :      343.546,- Kč</t>
        </r>
      </text>
    </comment>
    <comment ref="C31" authorId="0" shapeId="0" xr:uid="{00000000-0006-0000-0200-00000E000000}">
      <text>
        <r>
          <rPr>
            <b/>
            <sz val="9"/>
            <color rgb="FF000000"/>
            <rFont val="Tahoma"/>
            <family val="2"/>
            <charset val="238"/>
          </rPr>
          <t xml:space="preserve">cvs:
</t>
        </r>
        <r>
          <rPr>
            <sz val="9"/>
            <color rgb="FF000000"/>
            <rFont val="Tahoma"/>
            <family val="2"/>
            <charset val="238"/>
          </rPr>
          <t xml:space="preserve">13.07.2016           211.750,- Kč          Nákup veslařské lodě Filippi
</t>
        </r>
        <r>
          <rPr>
            <sz val="9"/>
            <color rgb="FF000000"/>
            <rFont val="Tahoma"/>
            <family val="2"/>
            <charset val="238"/>
          </rPr>
          <t xml:space="preserve">10.11.2016             79.093,- Kč         Lodní motor pro trenéry mládeže
</t>
        </r>
        <r>
          <rPr>
            <sz val="9"/>
            <color rgb="FF000000"/>
            <rFont val="Tahoma"/>
            <family val="2"/>
            <charset val="238"/>
          </rPr>
          <t xml:space="preserve">----------------------------------------------------------------------------------
</t>
        </r>
        <r>
          <rPr>
            <sz val="9"/>
            <color rgb="FF000000"/>
            <rFont val="Tahoma"/>
            <family val="2"/>
            <charset val="238"/>
          </rPr>
          <t>CELKEM :           290.843,- Kč</t>
        </r>
        <r>
          <rPr>
            <b/>
            <sz val="9"/>
            <color rgb="FF000000"/>
            <rFont val="Tahoma"/>
            <family val="2"/>
            <charset val="238"/>
          </rPr>
          <t xml:space="preserve">
</t>
        </r>
        <r>
          <rPr>
            <sz val="9"/>
            <color rgb="FF000000"/>
            <rFont val="Tahoma"/>
            <family val="2"/>
            <charset val="238"/>
          </rPr>
          <t xml:space="preserve">
</t>
        </r>
        <r>
          <rPr>
            <sz val="9"/>
            <color rgb="FF000000"/>
            <rFont val="Tahoma"/>
            <family val="2"/>
            <charset val="238"/>
          </rPr>
          <t xml:space="preserve"> </t>
        </r>
      </text>
    </comment>
    <comment ref="C32" authorId="0" shapeId="0" xr:uid="{00000000-0006-0000-0200-00000F000000}">
      <text>
        <r>
          <rPr>
            <b/>
            <sz val="9"/>
            <color indexed="81"/>
            <rFont val="Tahoma"/>
            <family val="2"/>
            <charset val="238"/>
          </rPr>
          <t xml:space="preserve">cvs:
</t>
        </r>
        <r>
          <rPr>
            <sz val="9"/>
            <color indexed="81"/>
            <rFont val="Tahoma"/>
            <family val="2"/>
            <charset val="238"/>
          </rPr>
          <t>09.02.2017           200.000,- Kč          Nákup veslařské lodě Wintech 4x+/4+
30.05.2017             80.000,- Kč          Doplatekveslařské lodě Wintech 4x+/4+
----------------------------------------------------------------------------------
CELKEM :           280.000,- Kč</t>
        </r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C33" authorId="0" shapeId="0" xr:uid="{00000000-0006-0000-0200-000010000000}">
      <text>
        <r>
          <rPr>
            <b/>
            <sz val="9"/>
            <color indexed="81"/>
            <rFont val="Tahoma"/>
            <family val="2"/>
            <charset val="238"/>
          </rPr>
          <t>ČVS:</t>
        </r>
        <r>
          <rPr>
            <sz val="9"/>
            <color indexed="81"/>
            <rFont val="Tahoma"/>
            <family val="2"/>
            <charset val="238"/>
          </rPr>
          <t xml:space="preserve">
08.12.2015           191.918,- Kč          Spolufinancování vleku na přepravu veslařských lodí  
19.09.2016             60.000,- Kč         Spolufinoncování nákupu párové čtyřky Filippi 
24.03.2017             24.412,- Kč         Spolufinancování nákupu párové čtyřky
-------------------------------------------------------------------------------------------------
Mezisoučet :        276.330,- Kč</t>
        </r>
      </text>
    </comment>
    <comment ref="C34" authorId="0" shapeId="0" xr:uid="{00000000-0006-0000-0200-000011000000}">
      <text>
        <r>
          <rPr>
            <b/>
            <sz val="9"/>
            <color rgb="FF000000"/>
            <rFont val="Tahoma"/>
            <family val="2"/>
            <charset val="238"/>
          </rPr>
          <t xml:space="preserve">ČVS:
</t>
        </r>
        <r>
          <rPr>
            <sz val="9"/>
            <color rgb="FF000000"/>
            <rFont val="Tahoma"/>
            <family val="2"/>
            <charset val="238"/>
          </rPr>
          <t xml:space="preserve">09.03.2016           214.460,- Kč          Nákup veslařské lodě
</t>
        </r>
        <r>
          <rPr>
            <sz val="9"/>
            <color rgb="FF000000"/>
            <rFont val="Tahoma"/>
            <family val="2"/>
            <charset val="238"/>
          </rPr>
          <t>19.11.2018             20.000,- Kč          Veslařský trenažér Concept2</t>
        </r>
      </text>
    </comment>
    <comment ref="C35" authorId="0" shapeId="0" xr:uid="{00000000-0006-0000-0200-000012000000}">
      <text>
        <r>
          <rPr>
            <b/>
            <sz val="9"/>
            <color indexed="81"/>
            <rFont val="Tahoma"/>
            <family val="2"/>
            <charset val="238"/>
          </rPr>
          <t xml:space="preserve">cvs:
</t>
        </r>
        <r>
          <rPr>
            <sz val="9"/>
            <color indexed="81"/>
            <rFont val="Tahoma"/>
            <family val="2"/>
            <charset val="238"/>
          </rPr>
          <t xml:space="preserve">25.04.2017           504.173,- Kč          Spolufinancování nákupu lodí a vesel pro mládež - projekt Labská akademie veslování
</t>
        </r>
      </text>
    </comment>
    <comment ref="C36" authorId="1" shapeId="0" xr:uid="{00000000-0006-0000-0200-000013000000}">
      <text>
        <r>
          <rPr>
            <b/>
            <sz val="9"/>
            <color rgb="FF000000"/>
            <rFont val="Tahoma"/>
            <family val="2"/>
            <charset val="238"/>
          </rPr>
          <t>cvs:</t>
        </r>
        <r>
          <rPr>
            <sz val="9"/>
            <color rgb="FF000000"/>
            <rFont val="Tahoma"/>
            <family val="2"/>
            <charset val="238"/>
          </rPr>
          <t xml:space="preserve">
</t>
        </r>
        <r>
          <rPr>
            <sz val="9"/>
            <color rgb="FF000000"/>
            <rFont val="Tahoma"/>
            <family val="2"/>
            <charset val="238"/>
          </rPr>
          <t xml:space="preserve">15.12.2014           82.439,- Kč          Spolufinancování nákupu veslařské lodě - I. část platby
</t>
        </r>
        <r>
          <rPr>
            <sz val="9"/>
            <color rgb="FF000000"/>
            <rFont val="Tahoma"/>
            <family val="2"/>
            <charset val="238"/>
          </rPr>
          <t xml:space="preserve">17.02.2015           30.761,- Kč          Spolufinancování nákupu veslařské lodě - II. část platby
</t>
        </r>
        <r>
          <rPr>
            <sz val="9"/>
            <color rgb="FF000000"/>
            <rFont val="Tahoma"/>
            <family val="2"/>
            <charset val="238"/>
          </rPr>
          <t xml:space="preserve">08.07.2015           19.609,- Kč          Spolufinancování nákupu veslařské lodě - III. část platby
</t>
        </r>
        <r>
          <rPr>
            <sz val="9"/>
            <color rgb="FF000000"/>
            <rFont val="Tahoma"/>
            <family val="2"/>
            <charset val="238"/>
          </rPr>
          <t xml:space="preserve">11.09.2015           23.616,- Kč          Spolufinancování nákupu skifu
</t>
        </r>
        <r>
          <rPr>
            <sz val="9"/>
            <color rgb="FF000000"/>
            <rFont val="Tahoma"/>
            <family val="2"/>
            <charset val="238"/>
          </rPr>
          <t xml:space="preserve">16.12.2015           33.205,- Kč          Nákup 2 dvojskifů a spolufinancování nákupu skifu
</t>
        </r>
        <r>
          <rPr>
            <sz val="9"/>
            <color rgb="FF000000"/>
            <rFont val="Tahoma"/>
            <family val="2"/>
            <charset val="238"/>
          </rPr>
          <t xml:space="preserve">------------------------------------------
</t>
        </r>
        <r>
          <rPr>
            <sz val="9"/>
            <color rgb="FF000000"/>
            <rFont val="Tahoma"/>
            <family val="2"/>
            <charset val="238"/>
          </rPr>
          <t xml:space="preserve">Mezisoučet         189.630,- Kč
</t>
        </r>
        <r>
          <rPr>
            <sz val="9"/>
            <color rgb="FF000000"/>
            <rFont val="Tahoma"/>
            <family val="2"/>
            <charset val="238"/>
          </rPr>
          <t xml:space="preserve">
</t>
        </r>
        <r>
          <rPr>
            <sz val="9"/>
            <color rgb="FF000000"/>
            <rFont val="Tahoma"/>
            <family val="2"/>
            <charset val="238"/>
          </rPr>
          <t xml:space="preserve">18.02.2016           24.708,- Kč          Spolufinancování nákupu skifu
</t>
        </r>
        <r>
          <rPr>
            <sz val="9"/>
            <color rgb="FF000000"/>
            <rFont val="Tahoma"/>
            <family val="2"/>
            <charset val="238"/>
          </rPr>
          <t xml:space="preserve">24.06.2016           15.031,- Kč          Spolufinancování nákupu skifu
</t>
        </r>
        <r>
          <rPr>
            <sz val="9"/>
            <color rgb="FF000000"/>
            <rFont val="Tahoma"/>
            <family val="2"/>
            <charset val="238"/>
          </rPr>
          <t xml:space="preserve">21.07.2016           22.685,- Kč          Spolufinancování nákupu skifu
</t>
        </r>
        <r>
          <rPr>
            <sz val="9"/>
            <color rgb="FF000000"/>
            <rFont val="Tahoma"/>
            <family val="2"/>
            <charset val="238"/>
          </rPr>
          <t xml:space="preserve">20.10.2016           10.950,- Kč          Spolufinancování nákupu skifu
</t>
        </r>
        <r>
          <rPr>
            <sz val="9"/>
            <color rgb="FF000000"/>
            <rFont val="Tahoma"/>
            <family val="2"/>
            <charset val="238"/>
          </rPr>
          <t xml:space="preserve">24.01.2017           13.536,- Kč          Spolufinancování nákupu skifu
</t>
        </r>
        <r>
          <rPr>
            <sz val="9"/>
            <color rgb="FF000000"/>
            <rFont val="Tahoma"/>
            <family val="2"/>
            <charset val="238"/>
          </rPr>
          <t xml:space="preserve">------------------------------------------
</t>
        </r>
        <r>
          <rPr>
            <sz val="9"/>
            <color rgb="FF000000"/>
            <rFont val="Tahoma"/>
            <family val="2"/>
            <charset val="238"/>
          </rPr>
          <t xml:space="preserve">Mezisoučet         276.540,- Kč
</t>
        </r>
        <r>
          <rPr>
            <sz val="9"/>
            <color rgb="FF000000"/>
            <rFont val="Tahoma"/>
            <family val="2"/>
            <charset val="238"/>
          </rPr>
          <t xml:space="preserve">
</t>
        </r>
      </text>
    </comment>
    <comment ref="C37" authorId="1" shapeId="0" xr:uid="{00000000-0006-0000-0200-000014000000}">
      <text>
        <r>
          <rPr>
            <b/>
            <sz val="9"/>
            <color rgb="FF000000"/>
            <rFont val="Tahoma"/>
            <family val="2"/>
            <charset val="238"/>
          </rPr>
          <t>cvs:</t>
        </r>
        <r>
          <rPr>
            <sz val="9"/>
            <color rgb="FF000000"/>
            <rFont val="Tahoma"/>
            <family val="2"/>
            <charset val="238"/>
          </rPr>
          <t xml:space="preserve">
</t>
        </r>
        <r>
          <rPr>
            <sz val="9"/>
            <color rgb="FF000000"/>
            <rFont val="Tahoma"/>
            <family val="2"/>
            <charset val="238"/>
          </rPr>
          <t xml:space="preserve">23.04.2015           113.000,- Kč          Spolufinancování nákupu 4 veslařských lodí ( 3 x skif a 1 x dvojskif )
</t>
        </r>
        <r>
          <rPr>
            <sz val="9"/>
            <color rgb="FF000000"/>
            <rFont val="Tahoma"/>
            <family val="2"/>
            <charset val="238"/>
          </rPr>
          <t xml:space="preserve">09.05.2016             60.000,- Kč          Katamaran 
</t>
        </r>
        <r>
          <rPr>
            <sz val="9"/>
            <color rgb="FF000000"/>
            <rFont val="Tahoma"/>
            <family val="2"/>
            <charset val="238"/>
          </rPr>
          <t xml:space="preserve">24.11.2016             90.000,- Kč          Nákup veslařské lodě
</t>
        </r>
        <r>
          <rPr>
            <sz val="9"/>
            <color rgb="FF000000"/>
            <rFont val="Tahoma"/>
            <family val="2"/>
            <charset val="238"/>
          </rPr>
          <t xml:space="preserve">--------------------------------------------------------
</t>
        </r>
        <r>
          <rPr>
            <sz val="9"/>
            <color rgb="FF000000"/>
            <rFont val="Tahoma"/>
            <family val="2"/>
            <charset val="238"/>
          </rPr>
          <t xml:space="preserve">CELKEM :            263.000,- Kč     
</t>
        </r>
        <r>
          <rPr>
            <sz val="9"/>
            <color rgb="FF000000"/>
            <rFont val="Tahoma"/>
            <family val="2"/>
            <charset val="238"/>
          </rPr>
          <t xml:space="preserve">
</t>
        </r>
        <r>
          <rPr>
            <sz val="9"/>
            <color rgb="FF000000"/>
            <rFont val="Tahoma"/>
            <family val="2"/>
            <charset val="238"/>
          </rPr>
          <t xml:space="preserve">24.11.2016             36.469,- Kč          Nákup veslařských trenažérů
</t>
        </r>
        <r>
          <rPr>
            <sz val="9"/>
            <color rgb="FF000000"/>
            <rFont val="Tahoma"/>
            <family val="2"/>
            <charset val="238"/>
          </rPr>
          <t xml:space="preserve">10.12.2018             17.588,- Kč          Oprava veslařské lodě
</t>
        </r>
        <r>
          <rPr>
            <sz val="9"/>
            <color rgb="FF000000"/>
            <rFont val="Tahoma"/>
            <family val="2"/>
            <charset val="238"/>
          </rPr>
          <t xml:space="preserve">--------------------------------------------------------
</t>
        </r>
        <r>
          <rPr>
            <sz val="9"/>
            <color rgb="FF000000"/>
            <rFont val="Tahoma"/>
            <family val="2"/>
            <charset val="238"/>
          </rPr>
          <t xml:space="preserve">CELKEM :              317.027,- Kč     
</t>
        </r>
        <r>
          <rPr>
            <sz val="9"/>
            <color rgb="FF000000"/>
            <rFont val="Tahoma"/>
            <family val="2"/>
            <charset val="238"/>
          </rPr>
          <t xml:space="preserve">
</t>
        </r>
      </text>
    </comment>
    <comment ref="C38" authorId="1" shapeId="0" xr:uid="{00000000-0006-0000-0200-000015000000}">
      <text>
        <r>
          <rPr>
            <b/>
            <sz val="9"/>
            <color indexed="81"/>
            <rFont val="Tahoma"/>
            <family val="2"/>
            <charset val="238"/>
          </rPr>
          <t>cvs:</t>
        </r>
        <r>
          <rPr>
            <sz val="9"/>
            <color indexed="81"/>
            <rFont val="Tahoma"/>
            <family val="2"/>
            <charset val="238"/>
          </rPr>
          <t xml:space="preserve">
09.03.2015           142.000,- Kč          Spolufinancování nákupu veslařské lodě 
13.11.2015             53.000,- Kč          Spolufinancování nákupu veslařské lodě 
18.12.2015             20.885,- Kč          Obaly na loď a krakorce pro 4x+/4+
15.07.2015             89.000,- Kč          Spolufinancování nákupu veslařské lodě 
------------------------------------------------------------------------------------
Mezisoučet          304.885,- Kč  
09.02.2017             37.131,- Kč          Spolufinancování nákupu veslařské lodě Wintech
------------------------------------------------------------------------------------
Mezisoučet          342.016,- Kč  
</t>
        </r>
      </text>
    </comment>
    <comment ref="C39" authorId="1" shapeId="0" xr:uid="{00000000-0006-0000-0200-000016000000}">
      <text>
        <r>
          <rPr>
            <b/>
            <sz val="9"/>
            <color indexed="81"/>
            <rFont val="Tahoma"/>
            <family val="2"/>
            <charset val="238"/>
          </rPr>
          <t>cvs:</t>
        </r>
        <r>
          <rPr>
            <sz val="9"/>
            <color indexed="81"/>
            <rFont val="Tahoma"/>
            <family val="2"/>
            <charset val="238"/>
          </rPr>
          <t xml:space="preserve">
23.03.2015           80.000,- Kč          1. splátka nákupu veslařské lodě Filippi
27.05.2015           32.500,- Kč          nákup 1x Janousek a 4- BBG
27.05.2015           23.000,- Kč          nákup 2 párů vesel macon a 2 ks nepár. Croker
29.10.2015           40.000,- Kč          nákup 1x Havel a vesla
23.11.2015           10.500,- Kč          nákup 2 ks monitorů C2
----------------------------------------------------------------------------------------------
Mezisoučet         186.000,- Kč
02.06.2016           80.000,- Kč          2.splátka nákupu veslařské lodě Filippi
20.09.2016           58.000,- Kč          nákup 1x Empacher
28.04.2017          107.931,- Kč         nákup motorového člunu a příslušenství pro mládež
----------------------------------------------------------------------------------------------
CELKEM :          431.931,- Kč </t>
        </r>
      </text>
    </comment>
    <comment ref="C40" authorId="1" shapeId="0" xr:uid="{00000000-0006-0000-0200-000017000000}">
      <text>
        <r>
          <rPr>
            <b/>
            <sz val="9"/>
            <color indexed="81"/>
            <rFont val="Tahoma"/>
            <family val="2"/>
            <charset val="238"/>
          </rPr>
          <t>cvs:</t>
        </r>
        <r>
          <rPr>
            <sz val="9"/>
            <color indexed="81"/>
            <rFont val="Tahoma"/>
            <family val="2"/>
            <charset val="238"/>
          </rPr>
          <t xml:space="preserve">
12.5.2015           118.287,- Kč          spolufinancování nákupu veslařských lodí
18.8.2015             18.461,- Kč          spolufinancování nákupu vesel
28.04.2017           11.712,- Kč          oprava rámů k veslařským trenažérům
28.04.2017           55.000,- Kč          pořízení 2 veslařských lodí Janousek, Chalenger
28.04.2017          100.000,- Kč         pořízení kombinované lodě Vespoli</t>
        </r>
      </text>
    </comment>
    <comment ref="C41" authorId="1" shapeId="0" xr:uid="{00000000-0006-0000-0200-000018000000}">
      <text>
        <r>
          <rPr>
            <b/>
            <sz val="9"/>
            <color indexed="81"/>
            <rFont val="Tahoma"/>
            <family val="2"/>
            <charset val="238"/>
          </rPr>
          <t>cvs:</t>
        </r>
        <r>
          <rPr>
            <sz val="9"/>
            <color indexed="81"/>
            <rFont val="Tahoma"/>
            <family val="2"/>
            <charset val="238"/>
          </rPr>
          <t xml:space="preserve">
30.3.2015           115.461,00 Kč          spolufinancování nákupu závěsného motoru na motorový člun TOHATSU
15.09.2016         139.999,42 Kč          spolufinancování nákupu veslařské lodě 2x/- 
--------------------------------------------------------
CELKEM :         255.460,42 Kč     </t>
        </r>
      </text>
    </comment>
    <comment ref="C42" authorId="0" shapeId="0" xr:uid="{00000000-0006-0000-0200-000019000000}">
      <text>
        <r>
          <rPr>
            <b/>
            <sz val="9"/>
            <color indexed="81"/>
            <rFont val="Tahoma"/>
            <family val="2"/>
            <charset val="238"/>
          </rPr>
          <t xml:space="preserve">cvs:
</t>
        </r>
        <r>
          <rPr>
            <sz val="9"/>
            <color indexed="81"/>
            <rFont val="Tahoma"/>
            <family val="2"/>
            <charset val="238"/>
          </rPr>
          <t xml:space="preserve">15.9.2016           253.851,- Kč          spolufinancování nákupu osmiveslice pro mládež
</t>
        </r>
      </text>
    </comment>
    <comment ref="C43" authorId="1" shapeId="0" xr:uid="{00000000-0006-0000-0200-00001A000000}">
      <text>
        <r>
          <rPr>
            <b/>
            <sz val="9"/>
            <color indexed="81"/>
            <rFont val="Tahoma"/>
            <family val="2"/>
            <charset val="238"/>
          </rPr>
          <t>cvs:</t>
        </r>
        <r>
          <rPr>
            <sz val="9"/>
            <color indexed="81"/>
            <rFont val="Tahoma"/>
            <family val="2"/>
            <charset val="238"/>
          </rPr>
          <t xml:space="preserve">
6.1.2015           75.790,- Kč          Částečná úhrada 2 posilovacích strojů G204 a G609
2.2.2015           26.180,- Kč          Doplatek za dodání 2 posilovacích strojů G204 a G609 
23.11.2015        68.684,- Kč          2 ks posilovacích strojů 
30.05.2017        79.168,- Kč          Nákup veslařské lodě Pirsch 4x/-
----------------------------------------------------------------------
CELKEM         249.822,- Kč</t>
        </r>
      </text>
    </comment>
    <comment ref="C44" authorId="0" shapeId="0" xr:uid="{00000000-0006-0000-0200-00001B000000}">
      <text>
        <r>
          <rPr>
            <b/>
            <sz val="9"/>
            <color indexed="81"/>
            <rFont val="Tahoma"/>
            <family val="2"/>
            <charset val="238"/>
          </rPr>
          <t>CVS:</t>
        </r>
        <r>
          <rPr>
            <sz val="9"/>
            <color indexed="81"/>
            <rFont val="Tahoma"/>
            <family val="2"/>
            <charset val="238"/>
          </rPr>
          <t xml:space="preserve">
07.12.2015           61.000,- Kč          Záloha na dodání skifu
10.06.2016           41.464,- Kč          Doplatek za dodání skifu
10.06.2016           63.000,- Kč          Záloha na dodání skifu
27.04.2017           54.785,- Kč
-----------------------------------------------------------------------
Mezisoučet :      220.249,- Kč</t>
        </r>
      </text>
    </comment>
    <comment ref="C45" authorId="0" shapeId="0" xr:uid="{00000000-0006-0000-0200-00001C000000}">
      <text>
        <r>
          <rPr>
            <b/>
            <sz val="9"/>
            <color indexed="81"/>
            <rFont val="Tahoma"/>
            <family val="2"/>
            <charset val="238"/>
          </rPr>
          <t>ČVS:</t>
        </r>
        <r>
          <rPr>
            <sz val="9"/>
            <color indexed="81"/>
            <rFont val="Tahoma"/>
            <family val="2"/>
            <charset val="238"/>
          </rPr>
          <t xml:space="preserve">
11.07.2016           47.251,- Kč          Nákup 4 párů žákovských vesel, 2 páry nohavek </t>
        </r>
      </text>
    </comment>
    <comment ref="C46" authorId="0" shapeId="0" xr:uid="{00000000-0006-0000-0200-00001D000000}">
      <text>
        <r>
          <rPr>
            <b/>
            <sz val="9"/>
            <color indexed="81"/>
            <rFont val="Tahoma"/>
            <family val="2"/>
            <charset val="238"/>
          </rPr>
          <t>ČVS:</t>
        </r>
        <r>
          <rPr>
            <sz val="9"/>
            <color indexed="81"/>
            <rFont val="Tahoma"/>
            <family val="2"/>
            <charset val="238"/>
          </rPr>
          <t xml:space="preserve">
1.12.2016           43.558,- Kč          rekonstrukce přistávacího plata
1.12.2016             6.959,- Kč          oprava trenažérů
20.09.2017          99.343,- Kč         reko posilovny a posilovací pomůcky pro mládež
---------------------------------------------------------------------------------------------------------------------
CELKEM :         149.860,- Kč</t>
        </r>
      </text>
    </comment>
    <comment ref="C47" authorId="1" shapeId="0" xr:uid="{00000000-0006-0000-0200-00001E000000}">
      <text>
        <r>
          <rPr>
            <b/>
            <sz val="9"/>
            <color indexed="81"/>
            <rFont val="Tahoma"/>
            <family val="2"/>
            <charset val="238"/>
          </rPr>
          <t>cvs:</t>
        </r>
        <r>
          <rPr>
            <sz val="9"/>
            <color indexed="81"/>
            <rFont val="Tahoma"/>
            <family val="2"/>
            <charset val="238"/>
          </rPr>
          <t xml:space="preserve">
20.10.2015           50.000,- Kč          spolufinancování nákupu vleku na přepravu veslařských lodí - částečná úhrada - záloha
05.11.2015           89.150,- Kč          spolufinancování nákupu vleku na přepravu veslařských lodí - doplatek
27.06.2016           64.000,- Kč          4 žákovská nepárová vesla Concept2 s lopatkou Macon
17.03.2017           68.552,- Kč          2 ks závodních mldežnických lodí
---------------------------------------------------------------------------------------------------------------------
CELKEM :         271.702,- Kč</t>
        </r>
      </text>
    </comment>
    <comment ref="C48" authorId="1" shapeId="0" xr:uid="{00000000-0006-0000-0200-00001F000000}">
      <text>
        <r>
          <rPr>
            <b/>
            <sz val="9"/>
            <color rgb="FF000000"/>
            <rFont val="Tahoma"/>
            <family val="2"/>
            <charset val="238"/>
          </rPr>
          <t>cvs:</t>
        </r>
        <r>
          <rPr>
            <sz val="9"/>
            <color rgb="FF000000"/>
            <rFont val="Tahoma"/>
            <family val="2"/>
            <charset val="238"/>
          </rPr>
          <t xml:space="preserve">
</t>
        </r>
        <r>
          <rPr>
            <sz val="9"/>
            <color rgb="FF000000"/>
            <rFont val="Tahoma"/>
            <family val="2"/>
            <charset val="238"/>
          </rPr>
          <t xml:space="preserve">14.5.2015           27.749,- Kč          mobilní dřevěné nástupní plato pro VT mládeže
</t>
        </r>
        <r>
          <rPr>
            <sz val="9"/>
            <color rgb="FF000000"/>
            <rFont val="Tahoma"/>
            <family val="2"/>
            <charset val="238"/>
          </rPr>
          <t xml:space="preserve">19.10.2016         39.499,- Kč          3 páry vesel Braca a 6 ks pačin
</t>
        </r>
        <r>
          <rPr>
            <sz val="9"/>
            <color rgb="FF000000"/>
            <rFont val="Tahoma"/>
            <family val="2"/>
            <charset val="238"/>
          </rPr>
          <t xml:space="preserve">10.11.2016         50.500,- Kč          zálohová platba na dodání skifu Roseman
</t>
        </r>
        <r>
          <rPr>
            <sz val="9"/>
            <color rgb="FF000000"/>
            <rFont val="Tahoma"/>
            <family val="2"/>
            <charset val="238"/>
          </rPr>
          <t xml:space="preserve">24.03.2017         50.500,- Kč          doplatek skifu Roseman
</t>
        </r>
        <r>
          <rPr>
            <sz val="9"/>
            <color rgb="FF000000"/>
            <rFont val="Tahoma"/>
            <family val="2"/>
            <charset val="238"/>
          </rPr>
          <t xml:space="preserve">09.03.2018.        13.831,- Kč.         vesla pro mládež
</t>
        </r>
        <r>
          <rPr>
            <sz val="9"/>
            <color rgb="FF000000"/>
            <rFont val="Tahoma"/>
            <family val="2"/>
            <charset val="238"/>
          </rPr>
          <t xml:space="preserve">---------------------------------------------------------------------------
</t>
        </r>
        <r>
          <rPr>
            <sz val="9"/>
            <color rgb="FF000000"/>
            <rFont val="Tahoma"/>
            <family val="2"/>
            <charset val="238"/>
          </rPr>
          <t xml:space="preserve">CELKEM :        182.079,- Kč
</t>
        </r>
      </text>
    </comment>
    <comment ref="C50" authorId="1" shapeId="0" xr:uid="{00000000-0006-0000-0200-000020000000}">
      <text>
        <r>
          <rPr>
            <b/>
            <sz val="9"/>
            <color indexed="81"/>
            <rFont val="Tahoma"/>
            <family val="2"/>
            <charset val="238"/>
          </rPr>
          <t>cvs:</t>
        </r>
        <r>
          <rPr>
            <sz val="9"/>
            <color indexed="81"/>
            <rFont val="Tahoma"/>
            <family val="2"/>
            <charset val="238"/>
          </rPr>
          <t xml:space="preserve">
23.03.2015           88.000,- Kč          Spolufinancování nákupu veslařské lodě 
25.07.2017           57.100,- Kč          Záloha na veslařskou loď Roseman  
20.09.2017           57.100,- Kč          Doplatek 2x R UNI Roseman
--------------------------------------------------------------------------------------
CELKEM :          202.200,- Kč</t>
        </r>
      </text>
    </comment>
    <comment ref="C51" authorId="0" shapeId="0" xr:uid="{00000000-0006-0000-0200-000021000000}">
      <text>
        <r>
          <rPr>
            <b/>
            <sz val="9"/>
            <color indexed="81"/>
            <rFont val="Tahoma"/>
            <family val="2"/>
            <charset val="238"/>
          </rPr>
          <t>ČVS:</t>
        </r>
        <r>
          <rPr>
            <sz val="9"/>
            <color indexed="81"/>
            <rFont val="Tahoma"/>
            <family val="2"/>
            <charset val="238"/>
          </rPr>
          <t xml:space="preserve">
28.1.2016          126.150,- Kč          Skif a vesla 
17.3.2017            31.138,- Kč          Cvičební pomůcky
------------------------------------------------------------------
CELKEM :         157.288,- Kč
</t>
        </r>
      </text>
    </comment>
    <comment ref="C52" authorId="1" shapeId="0" xr:uid="{00000000-0006-0000-0200-000022000000}">
      <text>
        <r>
          <rPr>
            <b/>
            <sz val="9"/>
            <color rgb="FF000000"/>
            <rFont val="Tahoma"/>
            <family val="2"/>
            <charset val="238"/>
          </rPr>
          <t>cvs:</t>
        </r>
        <r>
          <rPr>
            <sz val="9"/>
            <color rgb="FF000000"/>
            <rFont val="Tahoma"/>
            <family val="2"/>
            <charset val="238"/>
          </rPr>
          <t xml:space="preserve">
</t>
        </r>
        <r>
          <rPr>
            <sz val="9"/>
            <color rgb="FF000000"/>
            <rFont val="Tahoma"/>
            <family val="2"/>
            <charset val="238"/>
          </rPr>
          <t xml:space="preserve">16.12.2014              7.335,- Kč       Spolufinancování nákupu veslařského trenažéru
</t>
        </r>
        <r>
          <rPr>
            <sz val="9"/>
            <color rgb="FF000000"/>
            <rFont val="Tahoma"/>
            <family val="2"/>
            <charset val="238"/>
          </rPr>
          <t xml:space="preserve">  6. 2.2015           18.925,61 Kč       Nákup trenažéru SkiErg2 PM5
</t>
        </r>
        <r>
          <rPr>
            <sz val="9"/>
            <color rgb="FF000000"/>
            <rFont val="Tahoma"/>
            <family val="2"/>
            <charset val="238"/>
          </rPr>
          <t xml:space="preserve">  5.11.2015          44.545,25 Kč       Vesla Braca a posilovací stroj Leg press
</t>
        </r>
        <r>
          <rPr>
            <sz val="9"/>
            <color rgb="FF000000"/>
            <rFont val="Tahoma"/>
            <family val="2"/>
            <charset val="238"/>
          </rPr>
          <t xml:space="preserve">19.11.2015          13.966,16 Kč       Bazénový vysavač do veslařského bazénu
</t>
        </r>
        <r>
          <rPr>
            <sz val="9"/>
            <color rgb="FF000000"/>
            <rFont val="Tahoma"/>
            <family val="2"/>
            <charset val="238"/>
          </rPr>
          <t xml:space="preserve">08.12.2015          12.550,41 Kč       Nákup ND ke čtyřveslici
</t>
        </r>
        <r>
          <rPr>
            <sz val="9"/>
            <color rgb="FF000000"/>
            <rFont val="Tahoma"/>
            <family val="2"/>
            <charset val="238"/>
          </rPr>
          <t xml:space="preserve">-----------------------------------------------------------------------------------------
</t>
        </r>
        <r>
          <rPr>
            <sz val="9"/>
            <color rgb="FF000000"/>
            <rFont val="Tahoma"/>
            <family val="2"/>
            <charset val="238"/>
          </rPr>
          <t xml:space="preserve">Mezisoučet         97.322,43 Kč
</t>
        </r>
        <r>
          <rPr>
            <sz val="9"/>
            <color rgb="FF000000"/>
            <rFont val="Tahoma"/>
            <family val="2"/>
            <charset val="238"/>
          </rPr>
          <t xml:space="preserve"> 
</t>
        </r>
        <r>
          <rPr>
            <sz val="9"/>
            <color rgb="FF000000"/>
            <rFont val="Tahoma"/>
            <family val="2"/>
            <charset val="238"/>
          </rPr>
          <t xml:space="preserve">16.02.2016            4.654,50 Kč       Oprava pojezdu a fixace trenažéru
</t>
        </r>
        <r>
          <rPr>
            <sz val="9"/>
            <color rgb="FF000000"/>
            <rFont val="Tahoma"/>
            <family val="2"/>
            <charset val="238"/>
          </rPr>
          <t xml:space="preserve">09.05.2016          24.793,39 Kč       Nákup 4 nepárových vesel
</t>
        </r>
        <r>
          <rPr>
            <sz val="9"/>
            <color rgb="FF000000"/>
            <rFont val="Tahoma"/>
            <family val="2"/>
            <charset val="238"/>
          </rPr>
          <t xml:space="preserve">09.02.2017          31.799,88 Kč       Veslařský trenažér C2 s podložkou 
</t>
        </r>
        <r>
          <rPr>
            <sz val="9"/>
            <color rgb="FF000000"/>
            <rFont val="Tahoma"/>
            <family val="2"/>
            <charset val="238"/>
          </rPr>
          <t xml:space="preserve">17.03.2017            4.908,82 Kč      Podložka pod trenažér
</t>
        </r>
        <r>
          <rPr>
            <sz val="9"/>
            <color rgb="FF000000"/>
            <rFont val="Tahoma"/>
            <family val="2"/>
            <charset val="238"/>
          </rPr>
          <t xml:space="preserve">-----------------------------------------------------------------------------------------
</t>
        </r>
        <r>
          <rPr>
            <sz val="9"/>
            <color rgb="FF000000"/>
            <rFont val="Tahoma"/>
            <family val="2"/>
            <charset val="238"/>
          </rPr>
          <t xml:space="preserve">Mezisoučet        163.479,02 Kč 
</t>
        </r>
        <r>
          <rPr>
            <sz val="9"/>
            <color rgb="FF000000"/>
            <rFont val="Tahoma"/>
            <family val="2"/>
            <charset val="238"/>
          </rPr>
          <t xml:space="preserve">
</t>
        </r>
        <r>
          <rPr>
            <sz val="10"/>
            <color rgb="FF000000"/>
            <rFont val="Calibri"/>
            <family val="2"/>
            <scheme val="minor"/>
          </rPr>
          <t>20.03.2018.        22.789,20 Kč.       stojany na lodě</t>
        </r>
        <r>
          <rPr>
            <sz val="9"/>
            <color rgb="FF000000"/>
            <rFont val="Calibri"/>
            <family val="2"/>
            <scheme val="minor"/>
          </rPr>
          <t xml:space="preserve">
</t>
        </r>
        <r>
          <rPr>
            <sz val="11"/>
            <color rgb="FF000000"/>
            <rFont val="+mn-lt"/>
            <charset val="1"/>
          </rPr>
          <t>-----------------------------------------------------------------------------------------</t>
        </r>
        <r>
          <rPr>
            <sz val="11"/>
            <color rgb="FF000000"/>
            <rFont val="+mn-lt"/>
            <charset val="1"/>
          </rPr>
          <t xml:space="preserve">
</t>
        </r>
        <r>
          <rPr>
            <sz val="11"/>
            <color rgb="FF000000"/>
            <rFont val="+mn-lt"/>
            <charset val="1"/>
          </rPr>
          <t xml:space="preserve">Mezisoučet        186.268,22 Kč </t>
        </r>
        <r>
          <rPr>
            <sz val="11"/>
            <color rgb="FF000000"/>
            <rFont val="+mn-lt"/>
            <charset val="1"/>
          </rPr>
          <t xml:space="preserve">
</t>
        </r>
      </text>
    </comment>
    <comment ref="C54" authorId="1" shapeId="0" xr:uid="{00000000-0006-0000-0200-000023000000}">
      <text>
        <r>
          <rPr>
            <b/>
            <sz val="9"/>
            <color rgb="FF000000"/>
            <rFont val="Tahoma"/>
            <family val="2"/>
            <charset val="238"/>
          </rPr>
          <t>cvs:</t>
        </r>
        <r>
          <rPr>
            <sz val="9"/>
            <color rgb="FF000000"/>
            <rFont val="Tahoma"/>
            <family val="2"/>
            <charset val="238"/>
          </rPr>
          <t xml:space="preserve">
</t>
        </r>
        <r>
          <rPr>
            <sz val="9"/>
            <color rgb="FF000000"/>
            <rFont val="Tahoma"/>
            <family val="2"/>
            <charset val="238"/>
          </rPr>
          <t xml:space="preserve">05.11.2015           33.275,- Kč          držáky lodí pro přívěs
</t>
        </r>
        <r>
          <rPr>
            <sz val="9"/>
            <color rgb="FF000000"/>
            <rFont val="Tahoma"/>
            <family val="2"/>
            <charset val="238"/>
          </rPr>
          <t>05.11.2015           33.275,- Kč          vlek na veslařské lodě</t>
        </r>
      </text>
    </comment>
    <comment ref="C55" authorId="1" shapeId="0" xr:uid="{00000000-0006-0000-0200-000024000000}">
      <text>
        <r>
          <rPr>
            <b/>
            <sz val="9"/>
            <color rgb="FF000000"/>
            <rFont val="Tahoma"/>
            <family val="2"/>
            <charset val="238"/>
          </rPr>
          <t>cvs:</t>
        </r>
        <r>
          <rPr>
            <sz val="9"/>
            <color rgb="FF000000"/>
            <rFont val="Tahoma"/>
            <family val="2"/>
            <charset val="238"/>
          </rPr>
          <t xml:space="preserve">
</t>
        </r>
        <r>
          <rPr>
            <sz val="9"/>
            <color rgb="FF000000"/>
            <rFont val="Tahoma"/>
            <family val="2"/>
            <charset val="238"/>
          </rPr>
          <t xml:space="preserve">30.12.2014           54.550,- Kč          Nafukovací člun a motor s příslušenstvím - záloha
</t>
        </r>
        <r>
          <rPr>
            <sz val="9"/>
            <color rgb="FF000000"/>
            <rFont val="Tahoma"/>
            <family val="2"/>
            <charset val="238"/>
          </rPr>
          <t xml:space="preserve">02.02.2015           24.970,- Kč          Nafukovací člun a motor s příslušenstvím - doplatek
</t>
        </r>
        <r>
          <rPr>
            <sz val="10"/>
            <color rgb="FF000000"/>
            <rFont val="Calibri"/>
            <family val="2"/>
            <scheme val="minor"/>
          </rPr>
          <t>09.03.2018         89.000,- Kč        Záloha na cvičnou loď</t>
        </r>
      </text>
    </comment>
    <comment ref="C56" authorId="1" shapeId="0" xr:uid="{00000000-0006-0000-0200-000025000000}">
      <text>
        <r>
          <rPr>
            <b/>
            <sz val="9"/>
            <color indexed="81"/>
            <rFont val="Tahoma"/>
            <family val="2"/>
            <charset val="238"/>
          </rPr>
          <t>cvs:</t>
        </r>
        <r>
          <rPr>
            <sz val="9"/>
            <color indexed="81"/>
            <rFont val="Tahoma"/>
            <family val="2"/>
            <charset val="238"/>
          </rPr>
          <t xml:space="preserve">
13.5.2015           48.824,- Kč          nákup 2 párů vesel Croker a 4 koziček
27.8.2015             8.954,- Kč          oprava koziček na lodě
19.11.2015          20.000,- Kč          oprava a údržba trenažérů
------------------------------------------------------------------------------
Mezisoučet :      77.778,- Kč
02.06.2016          51.400,- Kč          nákup 2 párů vesel a oprava lodě 2-
10.08.2016            8.150,- Kč          oprava veslice
3.1.2017            25.430,- Kč           oprava mládežnických lodí
2.3.2017            19.220,- Kč           pojizdné stojany na lodě 
24.4.2017            3.900,- Kč           oprava lodě
------------------------------------------------------------------------------
Mezisoučet :     185.878,- Kč</t>
        </r>
      </text>
    </comment>
    <comment ref="C57" authorId="0" shapeId="0" xr:uid="{00000000-0006-0000-0200-000026000000}">
      <text>
        <r>
          <rPr>
            <b/>
            <sz val="9"/>
            <color indexed="81"/>
            <rFont val="Tahoma"/>
            <family val="2"/>
            <charset val="238"/>
          </rPr>
          <t>ČVS:</t>
        </r>
        <r>
          <rPr>
            <sz val="9"/>
            <color indexed="81"/>
            <rFont val="Tahoma"/>
            <family val="2"/>
            <charset val="238"/>
          </rPr>
          <t xml:space="preserve">
02.03.2017           15.125,- Kč          Zapůjčení lodě pro mládež
12:12.2017           15.125,- Kč          Zapůjčení lodě pro mládež
--------------------------------------------------------------------------
CELKEM              30.250,- Kč</t>
        </r>
      </text>
    </comment>
    <comment ref="C58" authorId="0" shapeId="0" xr:uid="{00000000-0006-0000-0200-000027000000}">
      <text>
        <r>
          <rPr>
            <b/>
            <sz val="9"/>
            <color indexed="81"/>
            <rFont val="Tahoma"/>
            <family val="2"/>
            <charset val="238"/>
          </rPr>
          <t xml:space="preserve">cvs:
</t>
        </r>
        <r>
          <rPr>
            <sz val="9"/>
            <color indexed="81"/>
            <rFont val="Tahoma"/>
            <family val="2"/>
            <charset val="238"/>
          </rPr>
          <t xml:space="preserve">29.03.2016           32.855,- Kč          Veslařské trenažéry
</t>
        </r>
      </text>
    </comment>
    <comment ref="C59" authorId="0" shapeId="0" xr:uid="{00000000-0006-0000-0200-000028000000}">
      <text>
        <r>
          <rPr>
            <b/>
            <sz val="9"/>
            <color indexed="81"/>
            <rFont val="Tahoma"/>
            <family val="2"/>
            <charset val="238"/>
          </rPr>
          <t xml:space="preserve">cvs:
</t>
        </r>
        <r>
          <rPr>
            <sz val="9"/>
            <color indexed="81"/>
            <rFont val="Tahoma"/>
            <family val="2"/>
            <charset val="238"/>
          </rPr>
          <t>06.12.2017           101.281,- Kč          Oprava lodi Filippi 4x+/4+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Dušan</author>
  </authors>
  <commentList>
    <comment ref="B16" authorId="0" shapeId="0" xr:uid="{00000000-0006-0000-0400-000001000000}">
      <text>
        <r>
          <rPr>
            <b/>
            <sz val="9"/>
            <color indexed="81"/>
            <rFont val="Tahoma"/>
            <family val="2"/>
            <charset val="238"/>
          </rPr>
          <t>Dušan:</t>
        </r>
        <r>
          <rPr>
            <sz val="9"/>
            <color indexed="81"/>
            <rFont val="Tahoma"/>
            <family val="2"/>
            <charset val="238"/>
          </rPr>
          <t xml:space="preserve">
prosím revidovat podle všech registrovaných závodníků od 7-18, resp. 23 let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Dušan</author>
  </authors>
  <commentList>
    <comment ref="B16" authorId="0" shapeId="0" xr:uid="{00000000-0006-0000-0500-000001000000}">
      <text>
        <r>
          <rPr>
            <b/>
            <sz val="9"/>
            <color indexed="81"/>
            <rFont val="Tahoma"/>
            <family val="2"/>
            <charset val="238"/>
          </rPr>
          <t>Dušan:</t>
        </r>
        <r>
          <rPr>
            <sz val="9"/>
            <color indexed="81"/>
            <rFont val="Tahoma"/>
            <family val="2"/>
            <charset val="238"/>
          </rPr>
          <t xml:space="preserve">
prosím revidovat podle všech registrovaných závodníků od 7-18, resp. 23 let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Dušan</author>
  </authors>
  <commentList>
    <comment ref="B16" authorId="0" shapeId="0" xr:uid="{00000000-0006-0000-0600-000001000000}">
      <text>
        <r>
          <rPr>
            <b/>
            <sz val="9"/>
            <color indexed="81"/>
            <rFont val="Tahoma"/>
            <family val="2"/>
            <charset val="238"/>
          </rPr>
          <t>Dušan:</t>
        </r>
        <r>
          <rPr>
            <sz val="9"/>
            <color indexed="81"/>
            <rFont val="Tahoma"/>
            <family val="2"/>
            <charset val="238"/>
          </rPr>
          <t xml:space="preserve">
prosím revidovat podle všech registrovaných závodníků od 7-18, resp. 23 let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Dušan</author>
  </authors>
  <commentList>
    <comment ref="B16" authorId="0" shapeId="0" xr:uid="{00000000-0006-0000-0700-000001000000}">
      <text>
        <r>
          <rPr>
            <b/>
            <sz val="9"/>
            <color indexed="81"/>
            <rFont val="Tahoma"/>
            <family val="2"/>
            <charset val="238"/>
          </rPr>
          <t>Dušan:</t>
        </r>
        <r>
          <rPr>
            <sz val="9"/>
            <color indexed="81"/>
            <rFont val="Tahoma"/>
            <family val="2"/>
            <charset val="238"/>
          </rPr>
          <t xml:space="preserve">
prosím revidovat podle všech registrovaných závodníků od 7-18, resp. 23 let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Dušan</author>
  </authors>
  <commentList>
    <comment ref="B16" authorId="0" shapeId="0" xr:uid="{00000000-0006-0000-0800-000001000000}">
      <text>
        <r>
          <rPr>
            <b/>
            <sz val="9"/>
            <color indexed="81"/>
            <rFont val="Tahoma"/>
            <family val="2"/>
            <charset val="238"/>
          </rPr>
          <t>Dušan:</t>
        </r>
        <r>
          <rPr>
            <sz val="9"/>
            <color indexed="81"/>
            <rFont val="Tahoma"/>
            <family val="2"/>
            <charset val="238"/>
          </rPr>
          <t xml:space="preserve">
prosím revidovat podle všech registrovaných závodníků od 7-18, resp. 23 let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Dušan</author>
  </authors>
  <commentList>
    <comment ref="B16" authorId="0" shapeId="0" xr:uid="{00000000-0006-0000-0900-000001000000}">
      <text>
        <r>
          <rPr>
            <b/>
            <sz val="9"/>
            <color indexed="81"/>
            <rFont val="Tahoma"/>
            <family val="2"/>
            <charset val="238"/>
          </rPr>
          <t>Dušan:</t>
        </r>
        <r>
          <rPr>
            <sz val="9"/>
            <color indexed="81"/>
            <rFont val="Tahoma"/>
            <family val="2"/>
            <charset val="238"/>
          </rPr>
          <t xml:space="preserve">
prosím revidovat podle všech registrovaných závodníků od 7-18, resp. 23 let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Dušan</author>
  </authors>
  <commentList>
    <comment ref="B16" authorId="0" shapeId="0" xr:uid="{00000000-0006-0000-0A00-000001000000}">
      <text>
        <r>
          <rPr>
            <b/>
            <sz val="9"/>
            <color indexed="81"/>
            <rFont val="Tahoma"/>
            <family val="2"/>
            <charset val="238"/>
          </rPr>
          <t>Dušan:</t>
        </r>
        <r>
          <rPr>
            <sz val="9"/>
            <color indexed="81"/>
            <rFont val="Tahoma"/>
            <family val="2"/>
            <charset val="238"/>
          </rPr>
          <t xml:space="preserve">
prosím revidovat podle všech registrovaných závodníků od 7-18, resp. 23 let</t>
        </r>
      </text>
    </comment>
  </commentList>
</comments>
</file>

<file path=xl/sharedStrings.xml><?xml version="1.0" encoding="utf-8"?>
<sst xmlns="http://schemas.openxmlformats.org/spreadsheetml/2006/main" count="900" uniqueCount="203">
  <si>
    <t>Autor: L.Kubrycht, D.Macháček</t>
  </si>
  <si>
    <t>Celkový objem financí na Projekt Přijď veslovat podle rozpočtu na rok 2012:</t>
  </si>
  <si>
    <t>Společné výdaje v roce 2012:</t>
  </si>
  <si>
    <t>K distribuci jednotlivýcm klubům v roce 2012:</t>
  </si>
  <si>
    <t>paušál na klub</t>
  </si>
  <si>
    <t>za závodníka</t>
  </si>
  <si>
    <t>celkem</t>
  </si>
  <si>
    <t>VK SMÍCHOV</t>
  </si>
  <si>
    <t>VK OLOMOUC</t>
  </si>
  <si>
    <t>JISKRA OTROKOVICE</t>
  </si>
  <si>
    <t>VK BLESK</t>
  </si>
  <si>
    <t>ČVK PARDUBICE</t>
  </si>
  <si>
    <t>ČVK PRAHA</t>
  </si>
  <si>
    <t>VK LYSÁ n.L.</t>
  </si>
  <si>
    <t>BOHEMIANS PRAHA</t>
  </si>
  <si>
    <t>SLAVOJ LITOMĚŘICE</t>
  </si>
  <si>
    <t>VK PŘEROV</t>
  </si>
  <si>
    <t>JISKRA  TŘEBOŇ</t>
  </si>
  <si>
    <t>LOKOMOTIVA BEROUN</t>
  </si>
  <si>
    <t>SVK BŘECLAV</t>
  </si>
  <si>
    <t>VK HODONÍN</t>
  </si>
  <si>
    <t>VK OHŘE LOUNY</t>
  </si>
  <si>
    <t xml:space="preserve">CHEMIČKA ÚSTÍ n.L. </t>
  </si>
  <si>
    <t>KVM 1881 MĚLNÍK</t>
  </si>
  <si>
    <t>VK SLAVIA  PRAHA</t>
  </si>
  <si>
    <t>TJ NERATOVICE</t>
  </si>
  <si>
    <t>VK SEPAP ŠTĚTÍ</t>
  </si>
  <si>
    <t>VK VAJGAR  J.HRADEC</t>
  </si>
  <si>
    <t>KV KONDOR BRANDÝS n.L.</t>
  </si>
  <si>
    <t>VK MORÁVIA UH.HRADIŠTĚ</t>
  </si>
  <si>
    <t>ČAC ROUDNICE n.L</t>
  </si>
  <si>
    <t>LOKOMOTIVA NYMBURK</t>
  </si>
  <si>
    <t>VK SLAVIA DĚČÍN</t>
  </si>
  <si>
    <t>ČVK BRNO</t>
  </si>
  <si>
    <t>LS BRNO</t>
  </si>
  <si>
    <t>VK SLOVÁCKO UH. HRADIŠTĚ</t>
  </si>
  <si>
    <t>Celkem:</t>
  </si>
  <si>
    <t>verze dělení</t>
  </si>
  <si>
    <t>PERUN OSTRAVA</t>
  </si>
  <si>
    <t>počet unicitních závodníků z p-oblastí 2012</t>
  </si>
  <si>
    <t>Kontrola počtu závodníků z 6/2012: L.Kubrycht</t>
  </si>
  <si>
    <t xml:space="preserve"> odměny trenérům, verze kombinovaná v 7-12/2012</t>
  </si>
  <si>
    <t>materiál, VT, atd.  za 7-12/2012</t>
  </si>
  <si>
    <t>výplata za 7-12/2012</t>
  </si>
  <si>
    <t>Praha, červen 2012</t>
  </si>
  <si>
    <t>Rozdělení prostředků z dotačního programu MŠMT PROGRAM č. V  „Organizace sportu“ - projekt „Přijď veslovat“ na období 7-12/2012</t>
  </si>
  <si>
    <t>Rozdělení prostředků z dotačního programu MŠMT PROGRAM č. V  „Organizace sportu“ - projekt „Přijď veslovat“ na období 1-6/2012</t>
  </si>
  <si>
    <t>Praha, květen 2012</t>
  </si>
  <si>
    <t>Kontrola počtu závodníků z 6/2011: L.Kubrycht</t>
  </si>
  <si>
    <t xml:space="preserve"> odměny trenérům, verze kombinovaná v 1-6/2012</t>
  </si>
  <si>
    <t>materiál, VT, atd.  za 1-6/2012</t>
  </si>
  <si>
    <t>výplata za 1-6/2012</t>
  </si>
  <si>
    <t>počet unicitních závodníků z p-oblastí 2011</t>
  </si>
  <si>
    <t>DTJ HK - Hradecký klub veslařù</t>
  </si>
  <si>
    <t>Program - LOTERIE ČOV</t>
  </si>
  <si>
    <t>rozdělení 2014 - I.</t>
  </si>
  <si>
    <t>1. Centrum zdravotně postižených jižních Čech</t>
  </si>
  <si>
    <t>TJ BOHEMIANS PRAHA</t>
  </si>
  <si>
    <t>TJ LOKOMOTIVA NYMBURK</t>
  </si>
  <si>
    <t>VSK VŠB-TU Ostrava</t>
  </si>
  <si>
    <t>VK SLAVOJ LITOMĚŘICE</t>
  </si>
  <si>
    <t>TJ LOKOMOTIVA BEROUN</t>
  </si>
  <si>
    <t>VK PERUN OSTRAVA</t>
  </si>
  <si>
    <t>TJ LS BRNO</t>
  </si>
  <si>
    <t xml:space="preserve">TJ CHEMIČKA ÚSTÍ n.L. </t>
  </si>
  <si>
    <t>VK ROUDNICE n.L</t>
  </si>
  <si>
    <t>Klub</t>
  </si>
  <si>
    <t>%</t>
  </si>
  <si>
    <t>index aktivity</t>
  </si>
  <si>
    <t>TJ JISKRA OTROKOVICE</t>
  </si>
  <si>
    <t>Praha, červen 2014</t>
  </si>
  <si>
    <t>Autor: D.Macháček, J. Johánek</t>
  </si>
  <si>
    <t xml:space="preserve">VK Tyflocentra Ústí nad Labem </t>
  </si>
  <si>
    <t>KVS ŠTĚTÍ</t>
  </si>
  <si>
    <t>TJ JISKRA  TŘEBOŇ</t>
  </si>
  <si>
    <t>TJ SPARTAK BOLETICE</t>
  </si>
  <si>
    <t>TJ VS TÁBOR</t>
  </si>
  <si>
    <t>USK PARDUBICE</t>
  </si>
  <si>
    <t>TJ DUKLA PRAHA</t>
  </si>
  <si>
    <t>Zadání: transparentně rozdělit mezi veslařské kluby/oddíly prostředky z fondu ČOV tak, aby umožnili pořídit užitečný materiál či sportovní služby, které nelze nebo obtížně čerpat z jiných dotačních titul.Jedním z parametrů je aktivní klub, druhým počet registrovaných veslařů v kategoriích 7-18 let bez rozdílu výkonnosti.</t>
  </si>
  <si>
    <t>Praha, srpen 2014</t>
  </si>
  <si>
    <t>počet unicitních závodníků do 18 let k 6-2014</t>
  </si>
  <si>
    <t>rozdělení 2014 - II.</t>
  </si>
  <si>
    <t xml:space="preserve">Celkový stav přidělení a čerpání prostředků z dotačního programu ČOV </t>
  </si>
  <si>
    <t>Celkový objem financí :</t>
  </si>
  <si>
    <t>Přiděleno</t>
  </si>
  <si>
    <t>Čerpáno</t>
  </si>
  <si>
    <t xml:space="preserve">Nevyčerpáno celkem : </t>
  </si>
  <si>
    <t>Praha, listopad 2014</t>
  </si>
  <si>
    <t>rozdělení 2014 - III.</t>
  </si>
  <si>
    <t>Dle evidence členské základny k 15.8.2014</t>
  </si>
  <si>
    <t>počet unicitních závodníků do 18 let k 8-2014</t>
  </si>
  <si>
    <t>Rozdělení 3. tranše schváleno P-ČVS dne 12.11.2014</t>
  </si>
  <si>
    <t>Praha, leden 2015</t>
  </si>
  <si>
    <t xml:space="preserve"> </t>
  </si>
  <si>
    <t>Rozdělení schváleno P-ČVS dne 14.1.2015</t>
  </si>
  <si>
    <t>Celková částka 4. tranše</t>
  </si>
  <si>
    <t>Finance z 4. tranše k rozdělení do klubů</t>
  </si>
  <si>
    <t>Všeobecné výdaje - na mládež 2015</t>
  </si>
  <si>
    <t>Kluby a oddíly celkem:</t>
  </si>
  <si>
    <t>Celková částka 5. tranše</t>
  </si>
  <si>
    <t>Finance z 5. tranše k rozdělení do klubů</t>
  </si>
  <si>
    <t>Rozdělení schváleno P-ČVS dne 13.5.2015</t>
  </si>
  <si>
    <t>Praha, květen 2015</t>
  </si>
  <si>
    <t>Rozdělení prostředků z dotačního programu ČOV na období 2014 - první tranše</t>
  </si>
  <si>
    <t>Rozdělení prostředků z dotačního programu ČOV na období 2014 - druhá tranše</t>
  </si>
  <si>
    <t>Rozdělení prostředků z dotačního programu ČOV na období 2014 - třetí tranše</t>
  </si>
  <si>
    <t>Rozdělení prostředků z dotačního programu ČOV - čtvrtá tranše</t>
  </si>
  <si>
    <t>rozdělení  V. tranše</t>
  </si>
  <si>
    <t>Rozdělení prostředků z dotačního programu ČOV - pátá tranše</t>
  </si>
  <si>
    <t>Rozdělení prostředků z dotačního programu ČOV - šestá tranše</t>
  </si>
  <si>
    <t>Praha, srpen 2015</t>
  </si>
  <si>
    <t>Celková částka 6. tranše</t>
  </si>
  <si>
    <t>Finance z 6. tranše k rozdělení do klubů</t>
  </si>
  <si>
    <t>Všeobecné výdaje - na mládež 2015 - 2016</t>
  </si>
  <si>
    <t>rozdělení  VI. tranše</t>
  </si>
  <si>
    <t>UK ZLÍN</t>
  </si>
  <si>
    <t>VŠSK MFF UK</t>
  </si>
  <si>
    <t>Dle evidence členské základny k 24.8.2015</t>
  </si>
  <si>
    <t>Rozdělení schváleno P-ČVS dne 27.8.2015</t>
  </si>
  <si>
    <t>počet členů do 18 let k 8-2015</t>
  </si>
  <si>
    <t>Praha, listopad 2015</t>
  </si>
  <si>
    <t>Celková částka 7. tranše</t>
  </si>
  <si>
    <t>Finance z 7. tranše k rozdělení do klubů</t>
  </si>
  <si>
    <t>rozdělení  VII. tranše</t>
  </si>
  <si>
    <t>Rozdělení schváleno P-ČVS dne 18.11.2015</t>
  </si>
  <si>
    <t>Rozdělení prostředků z dotačního programu ČOV - sedmá tranše</t>
  </si>
  <si>
    <t>Společné výdaje ČVS</t>
  </si>
  <si>
    <t xml:space="preserve">Nákup 3 ks dětských skifů </t>
  </si>
  <si>
    <t>Zbývá</t>
  </si>
  <si>
    <t>rozdělení  IV. Tranše 2014</t>
  </si>
  <si>
    <t>Rozdělení prostředků z dotačního programu ČOV - osmá tranše</t>
  </si>
  <si>
    <t>Praha, únor 2016</t>
  </si>
  <si>
    <t>Celková částka 8. tranše</t>
  </si>
  <si>
    <t>Finance z 8. tranše k rozdělení do klubů</t>
  </si>
  <si>
    <t>počet členů do 18 let k 31.12.2015</t>
  </si>
  <si>
    <t>rozdělení  VIII. tranše</t>
  </si>
  <si>
    <t>SK HAMR - veslování</t>
  </si>
  <si>
    <t xml:space="preserve">Dle evidence členské základny k 31.12.2015 splňující platné podmínky MŠMT </t>
  </si>
  <si>
    <t>Rozdělení schváleno P-ČVS dne 17.2.2016</t>
  </si>
  <si>
    <t>Veslařský klub Paprsek, z.s</t>
  </si>
  <si>
    <t>Návrh - rozdělení prostředků z dotačního programu ČOV - 9. tranše</t>
  </si>
  <si>
    <t>Praha, květen 2016</t>
  </si>
  <si>
    <t>Celková částka 9. tranše</t>
  </si>
  <si>
    <t>Finance z 9. tranše k rozdělení do klubů</t>
  </si>
  <si>
    <t>Všeobecné výdaje - na mládež 2016-2017</t>
  </si>
  <si>
    <t>počet unicitních závodníků do 18 let k 04-2016</t>
  </si>
  <si>
    <t>rozdělení  8. tranše</t>
  </si>
  <si>
    <t>Veslařský klub Paprsek</t>
  </si>
  <si>
    <t>UK Zlín</t>
  </si>
  <si>
    <t xml:space="preserve">SK HAMR - veslování </t>
  </si>
  <si>
    <t>Dle evidence členské základny k 30.4.2016</t>
  </si>
  <si>
    <t>Rozdělení schváleno P-ČVS dne 15.6.2016</t>
  </si>
  <si>
    <t>Zálohová platba na nákup 14 dětských skifů</t>
  </si>
  <si>
    <t>Autor: J. Johánek</t>
  </si>
  <si>
    <t xml:space="preserve">CELKEM </t>
  </si>
  <si>
    <t>Rozdělení prostředků z dotačního programu ČOV - 10. tranše</t>
  </si>
  <si>
    <t>Praha, červenec 2016</t>
  </si>
  <si>
    <t>Celková částka 10. tranše</t>
  </si>
  <si>
    <t>Finance z 10. tranše k rozdělení do klubů</t>
  </si>
  <si>
    <t>Všeobecné výdaje - na mládež 2016-2018</t>
  </si>
  <si>
    <t>počet unicitních závodníků do 18 let k 06 - 2016</t>
  </si>
  <si>
    <t>rozdělení  10. tranše</t>
  </si>
  <si>
    <t>Dle evidence členské základny splňující podmínky ČOV k 30.6.2016</t>
  </si>
  <si>
    <t>Rozdělení schváleno P-ČVS dne 19.7.2016</t>
  </si>
  <si>
    <t xml:space="preserve">Aktuálně k čerpání </t>
  </si>
  <si>
    <t>Celkový objem přidělených financí  :</t>
  </si>
  <si>
    <t>Rozdělení prostředků z dotačního programu ČOV - 11. tranše</t>
  </si>
  <si>
    <t>Praha, říjen 2016</t>
  </si>
  <si>
    <t xml:space="preserve">Zadání: transparentně rozdělit mezi veslařské kluby/oddíly prostředky z fondu ČOV tak, aby umožnili pořídit užitečný materiál či sportovní služby, které nelze nebo obtížně čerpat z jiných dotačních titul.Jedním z parametrů je aktivní klub, druhým počet registrovaných veslařů v kategoriích 7-18 let bez rozdílu výkonnosti. Třetím parametrem jsou odměny mateřským klubům za výkony reprezentantů v roce 2016 - rozděluje se 300.000,- Kč </t>
  </si>
  <si>
    <t>Celková částka 11. tranše</t>
  </si>
  <si>
    <t>Finance z 11. tranše k rozdělení do klubů</t>
  </si>
  <si>
    <t>Odměny klubům</t>
  </si>
  <si>
    <t>Všeob. výdaje</t>
  </si>
  <si>
    <t>z toho :</t>
  </si>
  <si>
    <t xml:space="preserve">zůstatek </t>
  </si>
  <si>
    <t>počet unicitních závodníků do 18 let k 30.9. 2016</t>
  </si>
  <si>
    <t>rozdělení  11. tranše</t>
  </si>
  <si>
    <t>Reprezentanti</t>
  </si>
  <si>
    <t>Dle evidence členské základny splňující podmínky ČOV k 30.9.2016</t>
  </si>
  <si>
    <t>Rozdělení schváleno P-ČVS dne 18.10.2016</t>
  </si>
  <si>
    <t xml:space="preserve">2 ks Alu krakorců s plováky </t>
  </si>
  <si>
    <t xml:space="preserve">Doplatek 14 dětských lodí </t>
  </si>
  <si>
    <t>Rozdělení prostředků z dotačního programu ČOV - 12. tranše</t>
  </si>
  <si>
    <t>Praha, leden 2017</t>
  </si>
  <si>
    <t>Rozdělení schváleno P-ČVS dne 18.1.2017</t>
  </si>
  <si>
    <t xml:space="preserve">Zadání: transparentně rozdělit mezi veslařské kluby/oddíly prostředky z fondu ČOV tak, aby umožnili pořídit užitečný materiál či sportovní služby, které nelze nebo obtížně čerpat z jiných dotačních titul.Jedním z parametrů je aktivní klub, druhým počet registrovaných veslařů v kategoriích 7-18 let bez rozdílu výkonnosti. </t>
  </si>
  <si>
    <t>Celková částka 12. tranše</t>
  </si>
  <si>
    <t>Finance z 12. tranše k rozdělení do klubů</t>
  </si>
  <si>
    <t>Všeobecné výdaje - na mládež 2016-2019</t>
  </si>
  <si>
    <t>počet unicitních závodníků do 18 let k 31.12. 2016</t>
  </si>
  <si>
    <t>rozdělení  12. tranše</t>
  </si>
  <si>
    <t>Dle evidence členské základny splňující podmínky ČOV k 30.12.2016</t>
  </si>
  <si>
    <t>Společné výdaje na mládež -  bude čerpáno v letech 2017 - 2018</t>
  </si>
  <si>
    <t>Rozdělení schváleno P-ČVS dne 18.1.2017 - normativ  2017/01/02</t>
  </si>
  <si>
    <t xml:space="preserve">Prozatím čerpáno </t>
  </si>
  <si>
    <t>2014-2018</t>
  </si>
  <si>
    <t>Praha, 30.11.2017</t>
  </si>
  <si>
    <t>Odměny mateřským klubům za výkony reprezentantů v roce 2016 - rozděluje se 277.248,- Kč. Schváleno P-ČVS 22.11.2017</t>
  </si>
  <si>
    <t>Autor:  J. Johánek</t>
  </si>
  <si>
    <t>Schváleno P-ČVS 22.11.2017</t>
  </si>
  <si>
    <t>Rozdělení částky 277.248,- Kč klubům za repre 2017</t>
  </si>
  <si>
    <t>Praha, 10.prosince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</si>
</sst>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5" formatCode="#,##0\ &quot;Kč&quot;;\-#,##0\ &quot;Kč&quot;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\ &quot;Kč&quot;_-;\-* #,##0\ &quot;Kč&quot;_-;_-* &quot;-&quot;??\ &quot;Kč&quot;_-;_-@_-"/>
    <numFmt numFmtId="165" formatCode="#,##0.00\ &quot;Kč&quot;"/>
    <numFmt numFmtId="166" formatCode="#,##0\ &quot;Kč&quot;"/>
  </numFmts>
  <fonts count="25">
    <font>
      <sz val="11"/>
      <color theme="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b/>
      <i/>
      <sz val="12"/>
      <color rgb="FFFF000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b/>
      <sz val="9"/>
      <color rgb="FF000000"/>
      <name val="Tahoma"/>
      <family val="2"/>
      <charset val="238"/>
    </font>
    <font>
      <sz val="9"/>
      <color rgb="FF000000"/>
      <name val="Tahoma"/>
      <family val="2"/>
      <charset val="238"/>
    </font>
    <font>
      <sz val="10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sz val="11"/>
      <color rgb="FF000000"/>
      <name val="+mn-lt"/>
      <charset val="1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271">
    <xf numFmtId="0" fontId="0" fillId="0" borderId="0" xfId="0"/>
    <xf numFmtId="0" fontId="6" fillId="0" borderId="0" xfId="0" applyFont="1"/>
    <xf numFmtId="0" fontId="0" fillId="0" borderId="0" xfId="0" applyAlignment="1">
      <alignment horizontal="center"/>
    </xf>
    <xf numFmtId="17" fontId="7" fillId="0" borderId="0" xfId="0" applyNumberFormat="1" applyFont="1"/>
    <xf numFmtId="0" fontId="7" fillId="0" borderId="0" xfId="0" applyFont="1"/>
    <xf numFmtId="0" fontId="8" fillId="0" borderId="0" xfId="0" applyFont="1"/>
    <xf numFmtId="164" fontId="4" fillId="0" borderId="1" xfId="2" applyNumberFormat="1" applyFont="1" applyBorder="1" applyAlignment="1">
      <alignment horizontal="center" vertical="center"/>
    </xf>
    <xf numFmtId="164" fontId="4" fillId="0" borderId="2" xfId="2" applyNumberFormat="1" applyFont="1" applyBorder="1" applyAlignment="1">
      <alignment horizontal="center" vertical="center"/>
    </xf>
    <xf numFmtId="164" fontId="4" fillId="0" borderId="3" xfId="2" applyNumberFormat="1" applyFont="1" applyBorder="1" applyAlignment="1">
      <alignment horizontal="center" vertical="center"/>
    </xf>
    <xf numFmtId="0" fontId="9" fillId="0" borderId="0" xfId="0" applyFont="1"/>
    <xf numFmtId="0" fontId="10" fillId="0" borderId="0" xfId="0" applyFont="1" applyAlignment="1">
      <alignment horizontal="center"/>
    </xf>
    <xf numFmtId="0" fontId="10" fillId="0" borderId="0" xfId="0" applyFont="1"/>
    <xf numFmtId="0" fontId="9" fillId="0" borderId="4" xfId="0" applyFont="1" applyFill="1" applyBorder="1" applyAlignment="1">
      <alignment vertical="center" wrapText="1"/>
    </xf>
    <xf numFmtId="0" fontId="10" fillId="0" borderId="4" xfId="0" applyFont="1" applyBorder="1"/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1" fillId="0" borderId="9" xfId="0" applyFont="1" applyFill="1" applyBorder="1" applyAlignment="1">
      <alignment horizontal="left"/>
    </xf>
    <xf numFmtId="0" fontId="9" fillId="0" borderId="10" xfId="0" applyFont="1" applyBorder="1" applyAlignment="1">
      <alignment horizontal="center"/>
    </xf>
    <xf numFmtId="164" fontId="0" fillId="0" borderId="11" xfId="0" applyNumberFormat="1" applyBorder="1"/>
    <xf numFmtId="164" fontId="0" fillId="0" borderId="12" xfId="0" applyNumberFormat="1" applyBorder="1"/>
    <xf numFmtId="164" fontId="4" fillId="0" borderId="13" xfId="0" applyNumberFormat="1" applyFont="1" applyFill="1" applyBorder="1"/>
    <xf numFmtId="164" fontId="4" fillId="0" borderId="14" xfId="0" applyNumberFormat="1" applyFont="1" applyBorder="1"/>
    <xf numFmtId="164" fontId="4" fillId="3" borderId="14" xfId="0" applyNumberFormat="1" applyFont="1" applyFill="1" applyBorder="1"/>
    <xf numFmtId="0" fontId="11" fillId="0" borderId="15" xfId="0" applyFont="1" applyFill="1" applyBorder="1"/>
    <xf numFmtId="0" fontId="9" fillId="0" borderId="16" xfId="0" applyFont="1" applyBorder="1" applyAlignment="1">
      <alignment horizontal="center"/>
    </xf>
    <xf numFmtId="164" fontId="0" fillId="0" borderId="15" xfId="0" applyNumberFormat="1" applyBorder="1"/>
    <xf numFmtId="164" fontId="0" fillId="0" borderId="17" xfId="0" applyNumberFormat="1" applyBorder="1"/>
    <xf numFmtId="164" fontId="4" fillId="0" borderId="18" xfId="0" applyNumberFormat="1" applyFont="1" applyFill="1" applyBorder="1"/>
    <xf numFmtId="164" fontId="4" fillId="0" borderId="19" xfId="0" applyNumberFormat="1" applyFont="1" applyBorder="1"/>
    <xf numFmtId="164" fontId="4" fillId="3" borderId="19" xfId="0" applyNumberFormat="1" applyFont="1" applyFill="1" applyBorder="1"/>
    <xf numFmtId="0" fontId="11" fillId="0" borderId="15" xfId="0" applyFont="1" applyFill="1" applyBorder="1" applyAlignment="1">
      <alignment horizontal="left"/>
    </xf>
    <xf numFmtId="0" fontId="11" fillId="0" borderId="20" xfId="0" applyFont="1" applyFill="1" applyBorder="1"/>
    <xf numFmtId="0" fontId="9" fillId="0" borderId="3" xfId="0" applyFont="1" applyBorder="1" applyAlignment="1">
      <alignment horizontal="center"/>
    </xf>
    <xf numFmtId="164" fontId="0" fillId="0" borderId="9" xfId="0" applyNumberFormat="1" applyBorder="1"/>
    <xf numFmtId="164" fontId="0" fillId="0" borderId="21" xfId="0" applyNumberFormat="1" applyBorder="1"/>
    <xf numFmtId="164" fontId="4" fillId="0" borderId="22" xfId="0" applyNumberFormat="1" applyFont="1" applyFill="1" applyBorder="1"/>
    <xf numFmtId="0" fontId="12" fillId="0" borderId="15" xfId="0" applyFont="1" applyFill="1" applyBorder="1"/>
    <xf numFmtId="0" fontId="13" fillId="0" borderId="16" xfId="0" applyFont="1" applyBorder="1" applyAlignment="1">
      <alignment horizontal="center"/>
    </xf>
    <xf numFmtId="0" fontId="5" fillId="0" borderId="0" xfId="0" applyFont="1" applyAlignment="1">
      <alignment horizontal="center"/>
    </xf>
    <xf numFmtId="164" fontId="5" fillId="0" borderId="15" xfId="0" applyNumberFormat="1" applyFont="1" applyBorder="1"/>
    <xf numFmtId="164" fontId="5" fillId="0" borderId="17" xfId="0" applyNumberFormat="1" applyFont="1" applyBorder="1"/>
    <xf numFmtId="164" fontId="14" fillId="0" borderId="18" xfId="0" applyNumberFormat="1" applyFont="1" applyFill="1" applyBorder="1"/>
    <xf numFmtId="164" fontId="14" fillId="0" borderId="19" xfId="0" applyNumberFormat="1" applyFont="1" applyBorder="1"/>
    <xf numFmtId="164" fontId="14" fillId="3" borderId="19" xfId="0" applyNumberFormat="1" applyFont="1" applyFill="1" applyBorder="1"/>
    <xf numFmtId="164" fontId="0" fillId="0" borderId="20" xfId="0" applyNumberFormat="1" applyBorder="1"/>
    <xf numFmtId="164" fontId="0" fillId="0" borderId="23" xfId="0" applyNumberFormat="1" applyBorder="1"/>
    <xf numFmtId="164" fontId="4" fillId="0" borderId="24" xfId="0" applyNumberFormat="1" applyFont="1" applyFill="1" applyBorder="1"/>
    <xf numFmtId="164" fontId="4" fillId="0" borderId="25" xfId="0" applyNumberFormat="1" applyFont="1" applyBorder="1"/>
    <xf numFmtId="164" fontId="4" fillId="3" borderId="25" xfId="0" applyNumberFormat="1" applyFont="1" applyFill="1" applyBorder="1"/>
    <xf numFmtId="0" fontId="9" fillId="0" borderId="0" xfId="0" applyFont="1" applyBorder="1"/>
    <xf numFmtId="0" fontId="4" fillId="2" borderId="21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164" fontId="0" fillId="0" borderId="0" xfId="0" applyNumberFormat="1" applyBorder="1"/>
    <xf numFmtId="164" fontId="4" fillId="0" borderId="0" xfId="0" applyNumberFormat="1" applyFont="1" applyBorder="1"/>
    <xf numFmtId="0" fontId="10" fillId="0" borderId="0" xfId="0" applyFont="1" applyBorder="1"/>
    <xf numFmtId="0" fontId="10" fillId="0" borderId="0" xfId="0" applyFont="1" applyBorder="1" applyAlignment="1">
      <alignment horizontal="center"/>
    </xf>
    <xf numFmtId="0" fontId="11" fillId="0" borderId="0" xfId="0" applyFont="1" applyFill="1" applyBorder="1"/>
    <xf numFmtId="9" fontId="3" fillId="0" borderId="0" xfId="3" applyFont="1" applyAlignment="1">
      <alignment horizontal="center"/>
    </xf>
    <xf numFmtId="9" fontId="4" fillId="0" borderId="17" xfId="3" applyFont="1" applyBorder="1" applyAlignment="1">
      <alignment horizontal="center"/>
    </xf>
    <xf numFmtId="9" fontId="4" fillId="0" borderId="17" xfId="0" applyNumberFormat="1" applyFont="1" applyBorder="1" applyAlignment="1">
      <alignment horizontal="center"/>
    </xf>
    <xf numFmtId="164" fontId="4" fillId="0" borderId="0" xfId="0" applyNumberFormat="1" applyFont="1"/>
    <xf numFmtId="164" fontId="4" fillId="2" borderId="0" xfId="2" applyNumberFormat="1" applyFont="1" applyFill="1" applyAlignment="1">
      <alignment horizontal="center"/>
    </xf>
    <xf numFmtId="0" fontId="4" fillId="0" borderId="0" xfId="0" applyFont="1"/>
    <xf numFmtId="164" fontId="0" fillId="0" borderId="0" xfId="0" applyNumberFormat="1"/>
    <xf numFmtId="164" fontId="0" fillId="0" borderId="0" xfId="0" applyNumberFormat="1" applyAlignment="1">
      <alignment horizontal="center"/>
    </xf>
    <xf numFmtId="164" fontId="3" fillId="0" borderId="0" xfId="2" applyNumberFormat="1" applyFont="1"/>
    <xf numFmtId="0" fontId="11" fillId="0" borderId="26" xfId="0" applyFont="1" applyFill="1" applyBorder="1"/>
    <xf numFmtId="0" fontId="9" fillId="0" borderId="27" xfId="0" applyFont="1" applyBorder="1" applyAlignment="1">
      <alignment horizontal="center"/>
    </xf>
    <xf numFmtId="164" fontId="15" fillId="0" borderId="15" xfId="0" applyNumberFormat="1" applyFont="1" applyBorder="1"/>
    <xf numFmtId="164" fontId="15" fillId="0" borderId="17" xfId="0" applyNumberFormat="1" applyFont="1" applyBorder="1"/>
    <xf numFmtId="164" fontId="16" fillId="0" borderId="18" xfId="0" applyNumberFormat="1" applyFont="1" applyFill="1" applyBorder="1"/>
    <xf numFmtId="164" fontId="16" fillId="0" borderId="19" xfId="0" applyNumberFormat="1" applyFont="1" applyBorder="1"/>
    <xf numFmtId="164" fontId="16" fillId="3" borderId="19" xfId="0" applyNumberFormat="1" applyFont="1" applyFill="1" applyBorder="1"/>
    <xf numFmtId="0" fontId="12" fillId="0" borderId="26" xfId="0" applyFont="1" applyFill="1" applyBorder="1"/>
    <xf numFmtId="0" fontId="13" fillId="0" borderId="27" xfId="0" applyFont="1" applyBorder="1" applyAlignment="1">
      <alignment horizontal="center"/>
    </xf>
    <xf numFmtId="164" fontId="5" fillId="0" borderId="26" xfId="0" applyNumberFormat="1" applyFont="1" applyBorder="1"/>
    <xf numFmtId="164" fontId="5" fillId="0" borderId="28" xfId="0" applyNumberFormat="1" applyFont="1" applyBorder="1"/>
    <xf numFmtId="164" fontId="14" fillId="0" borderId="29" xfId="0" applyNumberFormat="1" applyFont="1" applyFill="1" applyBorder="1"/>
    <xf numFmtId="164" fontId="14" fillId="0" borderId="30" xfId="0" applyNumberFormat="1" applyFont="1" applyBorder="1"/>
    <xf numFmtId="164" fontId="14" fillId="3" borderId="30" xfId="0" applyNumberFormat="1" applyFont="1" applyFill="1" applyBorder="1"/>
    <xf numFmtId="0" fontId="11" fillId="0" borderId="31" xfId="0" applyFont="1" applyFill="1" applyBorder="1"/>
    <xf numFmtId="0" fontId="11" fillId="0" borderId="11" xfId="0" applyFont="1" applyFill="1" applyBorder="1"/>
    <xf numFmtId="0" fontId="9" fillId="0" borderId="32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0" fillId="0" borderId="0" xfId="0" applyFill="1" applyAlignment="1">
      <alignment horizontal="center"/>
    </xf>
    <xf numFmtId="0" fontId="11" fillId="0" borderId="9" xfId="0" applyFont="1" applyFill="1" applyBorder="1"/>
    <xf numFmtId="164" fontId="4" fillId="0" borderId="0" xfId="0" applyNumberFormat="1" applyFont="1" applyFill="1" applyBorder="1"/>
    <xf numFmtId="43" fontId="3" fillId="0" borderId="0" xfId="1" applyFont="1" applyAlignment="1">
      <alignment horizontal="center"/>
    </xf>
    <xf numFmtId="164" fontId="4" fillId="4" borderId="1" xfId="2" applyNumberFormat="1" applyFont="1" applyFill="1" applyBorder="1" applyAlignment="1">
      <alignment horizontal="center" vertical="center"/>
    </xf>
    <xf numFmtId="10" fontId="3" fillId="0" borderId="0" xfId="3" applyNumberFormat="1" applyFont="1"/>
    <xf numFmtId="10" fontId="10" fillId="0" borderId="0" xfId="3" applyNumberFormat="1" applyFont="1"/>
    <xf numFmtId="10" fontId="9" fillId="0" borderId="0" xfId="3" applyNumberFormat="1" applyFont="1"/>
    <xf numFmtId="10" fontId="9" fillId="0" borderId="0" xfId="3" applyNumberFormat="1" applyFont="1" applyAlignment="1">
      <alignment horizontal="center" vertical="center"/>
    </xf>
    <xf numFmtId="9" fontId="3" fillId="0" borderId="0" xfId="3" applyNumberFormat="1" applyFont="1"/>
    <xf numFmtId="17" fontId="11" fillId="0" borderId="0" xfId="0" applyNumberFormat="1" applyFont="1" applyBorder="1" applyAlignment="1">
      <alignment horizontal="left" vertical="center"/>
    </xf>
    <xf numFmtId="164" fontId="4" fillId="0" borderId="0" xfId="2" applyNumberFormat="1" applyFont="1" applyBorder="1" applyAlignment="1">
      <alignment horizontal="center" vertical="center"/>
    </xf>
    <xf numFmtId="17" fontId="11" fillId="0" borderId="33" xfId="0" applyNumberFormat="1" applyFont="1" applyBorder="1" applyAlignment="1">
      <alignment vertical="center" wrapText="1"/>
    </xf>
    <xf numFmtId="164" fontId="0" fillId="4" borderId="34" xfId="0" applyNumberFormat="1" applyFont="1" applyFill="1" applyBorder="1"/>
    <xf numFmtId="164" fontId="0" fillId="4" borderId="35" xfId="0" applyNumberFormat="1" applyFont="1" applyFill="1" applyBorder="1"/>
    <xf numFmtId="164" fontId="15" fillId="4" borderId="34" xfId="0" applyNumberFormat="1" applyFont="1" applyFill="1" applyBorder="1"/>
    <xf numFmtId="17" fontId="11" fillId="0" borderId="7" xfId="0" applyNumberFormat="1" applyFont="1" applyBorder="1" applyAlignment="1">
      <alignment vertical="center" wrapText="1"/>
    </xf>
    <xf numFmtId="17" fontId="11" fillId="0" borderId="36" xfId="0" applyNumberFormat="1" applyFont="1" applyBorder="1" applyAlignment="1">
      <alignment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164" fontId="4" fillId="0" borderId="17" xfId="3" applyNumberFormat="1" applyFont="1" applyBorder="1" applyAlignment="1">
      <alignment horizontal="center"/>
    </xf>
    <xf numFmtId="0" fontId="9" fillId="0" borderId="33" xfId="0" applyFont="1" applyBorder="1" applyAlignment="1">
      <alignment horizontal="center" vertical="center" wrapText="1"/>
    </xf>
    <xf numFmtId="164" fontId="0" fillId="0" borderId="37" xfId="0" applyNumberFormat="1" applyBorder="1"/>
    <xf numFmtId="0" fontId="9" fillId="0" borderId="8" xfId="0" applyFont="1" applyBorder="1" applyAlignment="1">
      <alignment horizontal="center" vertical="center"/>
    </xf>
    <xf numFmtId="10" fontId="9" fillId="0" borderId="8" xfId="3" applyNumberFormat="1" applyFont="1" applyBorder="1" applyAlignment="1">
      <alignment horizontal="center" vertical="center"/>
    </xf>
    <xf numFmtId="164" fontId="0" fillId="4" borderId="45" xfId="0" applyNumberFormat="1" applyFont="1" applyFill="1" applyBorder="1"/>
    <xf numFmtId="0" fontId="18" fillId="4" borderId="46" xfId="0" applyNumberFormat="1" applyFont="1" applyFill="1" applyBorder="1" applyAlignment="1" applyProtection="1">
      <alignment horizontal="center"/>
    </xf>
    <xf numFmtId="0" fontId="19" fillId="4" borderId="37" xfId="0" applyNumberFormat="1" applyFont="1" applyFill="1" applyBorder="1" applyAlignment="1" applyProtection="1">
      <alignment horizontal="center"/>
    </xf>
    <xf numFmtId="0" fontId="18" fillId="4" borderId="37" xfId="0" applyNumberFormat="1" applyFont="1" applyFill="1" applyBorder="1" applyAlignment="1" applyProtection="1">
      <alignment horizontal="center"/>
    </xf>
    <xf numFmtId="0" fontId="19" fillId="4" borderId="46" xfId="0" applyNumberFormat="1" applyFont="1" applyFill="1" applyBorder="1" applyAlignment="1" applyProtection="1">
      <alignment horizontal="center"/>
    </xf>
    <xf numFmtId="0" fontId="9" fillId="4" borderId="33" xfId="0" applyFont="1" applyFill="1" applyBorder="1" applyAlignment="1">
      <alignment horizontal="center"/>
    </xf>
    <xf numFmtId="164" fontId="4" fillId="0" borderId="17" xfId="0" applyNumberFormat="1" applyFont="1" applyBorder="1"/>
    <xf numFmtId="10" fontId="3" fillId="0" borderId="16" xfId="3" applyNumberFormat="1" applyFont="1" applyBorder="1"/>
    <xf numFmtId="164" fontId="0" fillId="0" borderId="44" xfId="0" applyNumberFormat="1" applyBorder="1"/>
    <xf numFmtId="10" fontId="3" fillId="0" borderId="3" xfId="3" applyNumberFormat="1" applyFont="1" applyBorder="1"/>
    <xf numFmtId="0" fontId="17" fillId="0" borderId="5" xfId="0" applyFont="1" applyFill="1" applyBorder="1"/>
    <xf numFmtId="0" fontId="18" fillId="4" borderId="44" xfId="0" applyNumberFormat="1" applyFont="1" applyFill="1" applyBorder="1" applyAlignment="1" applyProtection="1">
      <alignment horizontal="center"/>
    </xf>
    <xf numFmtId="0" fontId="8" fillId="0" borderId="0" xfId="0" applyFont="1" applyAlignment="1">
      <alignment horizontal="left" wrapText="1"/>
    </xf>
    <xf numFmtId="0" fontId="10" fillId="0" borderId="4" xfId="0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/>
    </xf>
    <xf numFmtId="0" fontId="18" fillId="2" borderId="14" xfId="0" applyNumberFormat="1" applyFont="1" applyFill="1" applyBorder="1" applyAlignment="1" applyProtection="1">
      <alignment horizontal="center"/>
    </xf>
    <xf numFmtId="0" fontId="19" fillId="2" borderId="19" xfId="0" applyNumberFormat="1" applyFont="1" applyFill="1" applyBorder="1" applyAlignment="1" applyProtection="1">
      <alignment horizontal="center"/>
    </xf>
    <xf numFmtId="0" fontId="18" fillId="2" borderId="19" xfId="0" applyNumberFormat="1" applyFont="1" applyFill="1" applyBorder="1" applyAlignment="1" applyProtection="1">
      <alignment horizontal="center"/>
    </xf>
    <xf numFmtId="0" fontId="19" fillId="2" borderId="14" xfId="0" applyNumberFormat="1" applyFont="1" applyFill="1" applyBorder="1" applyAlignment="1" applyProtection="1">
      <alignment horizontal="center"/>
    </xf>
    <xf numFmtId="0" fontId="19" fillId="2" borderId="47" xfId="0" applyNumberFormat="1" applyFont="1" applyFill="1" applyBorder="1" applyAlignment="1" applyProtection="1">
      <alignment horizontal="center"/>
    </xf>
    <xf numFmtId="0" fontId="17" fillId="0" borderId="37" xfId="0" applyFont="1" applyFill="1" applyBorder="1"/>
    <xf numFmtId="0" fontId="17" fillId="0" borderId="46" xfId="0" applyFont="1" applyFill="1" applyBorder="1" applyAlignment="1">
      <alignment horizontal="left"/>
    </xf>
    <xf numFmtId="0" fontId="17" fillId="0" borderId="37" xfId="0" applyFont="1" applyFill="1" applyBorder="1" applyAlignment="1">
      <alignment horizontal="left"/>
    </xf>
    <xf numFmtId="0" fontId="17" fillId="0" borderId="48" xfId="0" applyFont="1" applyFill="1" applyBorder="1" applyAlignment="1">
      <alignment horizontal="left"/>
    </xf>
    <xf numFmtId="0" fontId="17" fillId="0" borderId="46" xfId="0" applyFont="1" applyFill="1" applyBorder="1"/>
    <xf numFmtId="0" fontId="17" fillId="0" borderId="46" xfId="0" applyFont="1" applyBorder="1" applyAlignment="1">
      <alignment vertical="center"/>
    </xf>
    <xf numFmtId="0" fontId="17" fillId="0" borderId="44" xfId="0" applyFont="1" applyFill="1" applyBorder="1"/>
    <xf numFmtId="0" fontId="18" fillId="2" borderId="25" xfId="0" applyNumberFormat="1" applyFont="1" applyFill="1" applyBorder="1" applyAlignment="1" applyProtection="1">
      <alignment horizontal="center"/>
    </xf>
    <xf numFmtId="0" fontId="9" fillId="0" borderId="33" xfId="0" applyFont="1" applyBorder="1" applyAlignment="1">
      <alignment horizontal="center" vertical="center" wrapText="1"/>
    </xf>
    <xf numFmtId="0" fontId="9" fillId="2" borderId="33" xfId="0" applyFont="1" applyFill="1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9" fillId="2" borderId="40" xfId="0" applyFont="1" applyFill="1" applyBorder="1" applyAlignment="1">
      <alignment horizontal="center"/>
    </xf>
    <xf numFmtId="0" fontId="9" fillId="0" borderId="0" xfId="0" applyFont="1" applyFill="1" applyBorder="1"/>
    <xf numFmtId="164" fontId="4" fillId="0" borderId="11" xfId="0" applyNumberFormat="1" applyFont="1" applyBorder="1"/>
    <xf numFmtId="164" fontId="4" fillId="0" borderId="2" xfId="0" applyNumberFormat="1" applyFont="1" applyBorder="1"/>
    <xf numFmtId="9" fontId="4" fillId="0" borderId="20" xfId="3" applyFont="1" applyBorder="1" applyAlignment="1">
      <alignment horizontal="center"/>
    </xf>
    <xf numFmtId="164" fontId="4" fillId="0" borderId="23" xfId="3" applyNumberFormat="1" applyFont="1" applyBorder="1" applyAlignment="1">
      <alignment horizontal="center"/>
    </xf>
    <xf numFmtId="9" fontId="4" fillId="0" borderId="3" xfId="3" applyFont="1" applyBorder="1" applyAlignment="1">
      <alignment horizontal="center"/>
    </xf>
    <xf numFmtId="0" fontId="9" fillId="0" borderId="33" xfId="0" applyFont="1" applyBorder="1" applyAlignment="1">
      <alignment horizontal="center" vertical="center" wrapText="1"/>
    </xf>
    <xf numFmtId="0" fontId="7" fillId="0" borderId="0" xfId="0" applyFont="1" applyBorder="1"/>
    <xf numFmtId="0" fontId="19" fillId="5" borderId="47" xfId="0" applyNumberFormat="1" applyFont="1" applyFill="1" applyBorder="1" applyAlignment="1" applyProtection="1">
      <alignment horizontal="center"/>
    </xf>
    <xf numFmtId="0" fontId="19" fillId="5" borderId="19" xfId="0" applyNumberFormat="1" applyFont="1" applyFill="1" applyBorder="1" applyAlignment="1" applyProtection="1">
      <alignment horizontal="center"/>
    </xf>
    <xf numFmtId="0" fontId="18" fillId="5" borderId="19" xfId="0" applyNumberFormat="1" applyFont="1" applyFill="1" applyBorder="1" applyAlignment="1" applyProtection="1">
      <alignment horizontal="center"/>
    </xf>
    <xf numFmtId="0" fontId="19" fillId="5" borderId="14" xfId="0" applyNumberFormat="1" applyFont="1" applyFill="1" applyBorder="1" applyAlignment="1" applyProtection="1">
      <alignment horizontal="center"/>
    </xf>
    <xf numFmtId="0" fontId="18" fillId="5" borderId="14" xfId="0" applyNumberFormat="1" applyFont="1" applyFill="1" applyBorder="1" applyAlignment="1" applyProtection="1">
      <alignment horizontal="center"/>
    </xf>
    <xf numFmtId="0" fontId="19" fillId="5" borderId="39" xfId="0" applyNumberFormat="1" applyFont="1" applyFill="1" applyBorder="1" applyAlignment="1" applyProtection="1">
      <alignment horizontal="center"/>
    </xf>
    <xf numFmtId="0" fontId="9" fillId="0" borderId="33" xfId="0" applyFont="1" applyBorder="1" applyAlignment="1">
      <alignment horizontal="center" vertical="center" wrapText="1"/>
    </xf>
    <xf numFmtId="0" fontId="9" fillId="6" borderId="33" xfId="0" applyFont="1" applyFill="1" applyBorder="1" applyAlignment="1">
      <alignment horizontal="left"/>
    </xf>
    <xf numFmtId="0" fontId="9" fillId="6" borderId="7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9" fillId="7" borderId="49" xfId="0" applyFont="1" applyFill="1" applyBorder="1" applyAlignment="1">
      <alignment horizontal="left"/>
    </xf>
    <xf numFmtId="164" fontId="4" fillId="8" borderId="1" xfId="2" applyNumberFormat="1" applyFont="1" applyFill="1" applyBorder="1" applyAlignment="1">
      <alignment horizontal="center" vertical="center"/>
    </xf>
    <xf numFmtId="0" fontId="9" fillId="7" borderId="4" xfId="0" applyFont="1" applyFill="1" applyBorder="1" applyAlignment="1">
      <alignment horizontal="center"/>
    </xf>
    <xf numFmtId="0" fontId="9" fillId="7" borderId="7" xfId="0" applyFont="1" applyFill="1" applyBorder="1" applyAlignment="1">
      <alignment horizontal="center"/>
    </xf>
    <xf numFmtId="0" fontId="11" fillId="7" borderId="33" xfId="0" applyFont="1" applyFill="1" applyBorder="1" applyAlignment="1">
      <alignment horizontal="left"/>
    </xf>
    <xf numFmtId="0" fontId="9" fillId="0" borderId="33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18" fillId="0" borderId="14" xfId="0" applyNumberFormat="1" applyFont="1" applyFill="1" applyBorder="1" applyAlignment="1" applyProtection="1">
      <alignment horizontal="center"/>
    </xf>
    <xf numFmtId="0" fontId="18" fillId="0" borderId="46" xfId="0" applyNumberFormat="1" applyFont="1" applyFill="1" applyBorder="1" applyAlignment="1" applyProtection="1">
      <alignment horizontal="center"/>
    </xf>
    <xf numFmtId="0" fontId="19" fillId="0" borderId="46" xfId="0" applyNumberFormat="1" applyFont="1" applyFill="1" applyBorder="1" applyAlignment="1" applyProtection="1">
      <alignment horizontal="center"/>
    </xf>
    <xf numFmtId="0" fontId="19" fillId="0" borderId="19" xfId="0" applyNumberFormat="1" applyFont="1" applyFill="1" applyBorder="1" applyAlignment="1" applyProtection="1">
      <alignment horizontal="center"/>
    </xf>
    <xf numFmtId="0" fontId="18" fillId="0" borderId="37" xfId="0" applyNumberFormat="1" applyFont="1" applyFill="1" applyBorder="1" applyAlignment="1" applyProtection="1">
      <alignment horizontal="center"/>
    </xf>
    <xf numFmtId="0" fontId="17" fillId="0" borderId="41" xfId="0" applyFont="1" applyFill="1" applyBorder="1" applyAlignment="1">
      <alignment horizontal="left"/>
    </xf>
    <xf numFmtId="164" fontId="0" fillId="7" borderId="50" xfId="0" applyNumberFormat="1" applyFill="1" applyBorder="1"/>
    <xf numFmtId="0" fontId="9" fillId="0" borderId="33" xfId="0" applyFont="1" applyBorder="1" applyAlignment="1">
      <alignment horizontal="center" vertical="center" wrapText="1"/>
    </xf>
    <xf numFmtId="0" fontId="9" fillId="0" borderId="51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 wrapText="1"/>
    </xf>
    <xf numFmtId="0" fontId="9" fillId="0" borderId="38" xfId="0" applyFont="1" applyFill="1" applyBorder="1" applyAlignment="1">
      <alignment horizontal="center" vertical="center" wrapText="1"/>
    </xf>
    <xf numFmtId="164" fontId="0" fillId="7" borderId="23" xfId="0" applyNumberFormat="1" applyFill="1" applyBorder="1"/>
    <xf numFmtId="14" fontId="0" fillId="0" borderId="0" xfId="0" applyNumberFormat="1"/>
    <xf numFmtId="165" fontId="0" fillId="0" borderId="0" xfId="0" applyNumberFormat="1"/>
    <xf numFmtId="0" fontId="4" fillId="9" borderId="0" xfId="0" applyFont="1" applyFill="1"/>
    <xf numFmtId="17" fontId="11" fillId="0" borderId="8" xfId="0" applyNumberFormat="1" applyFont="1" applyBorder="1" applyAlignment="1">
      <alignment horizontal="left" vertical="center"/>
    </xf>
    <xf numFmtId="164" fontId="3" fillId="8" borderId="1" xfId="2" applyNumberFormat="1" applyFont="1" applyFill="1" applyBorder="1" applyAlignment="1">
      <alignment horizontal="center" vertical="center"/>
    </xf>
    <xf numFmtId="164" fontId="4" fillId="8" borderId="8" xfId="0" applyNumberFormat="1" applyFont="1" applyFill="1" applyBorder="1"/>
    <xf numFmtId="0" fontId="9" fillId="0" borderId="33" xfId="0" applyFont="1" applyBorder="1" applyAlignment="1">
      <alignment horizontal="center" vertical="center" wrapText="1"/>
    </xf>
    <xf numFmtId="0" fontId="19" fillId="4" borderId="41" xfId="0" applyNumberFormat="1" applyFont="1" applyFill="1" applyBorder="1" applyAlignment="1" applyProtection="1">
      <alignment horizontal="center"/>
    </xf>
    <xf numFmtId="164" fontId="0" fillId="0" borderId="41" xfId="0" applyNumberFormat="1" applyBorder="1"/>
    <xf numFmtId="164" fontId="0" fillId="4" borderId="42" xfId="0" applyNumberFormat="1" applyFont="1" applyFill="1" applyBorder="1"/>
    <xf numFmtId="10" fontId="3" fillId="0" borderId="2" xfId="3" applyNumberFormat="1" applyFont="1" applyBorder="1"/>
    <xf numFmtId="0" fontId="17" fillId="0" borderId="49" xfId="0" applyFont="1" applyFill="1" applyBorder="1"/>
    <xf numFmtId="0" fontId="19" fillId="0" borderId="39" xfId="0" applyNumberFormat="1" applyFont="1" applyFill="1" applyBorder="1" applyAlignment="1" applyProtection="1">
      <alignment horizontal="center"/>
    </xf>
    <xf numFmtId="0" fontId="18" fillId="4" borderId="49" xfId="0" applyNumberFormat="1" applyFont="1" applyFill="1" applyBorder="1" applyAlignment="1" applyProtection="1">
      <alignment horizontal="center"/>
    </xf>
    <xf numFmtId="164" fontId="0" fillId="0" borderId="49" xfId="0" applyNumberFormat="1" applyBorder="1"/>
    <xf numFmtId="164" fontId="0" fillId="0" borderId="53" xfId="0" applyNumberFormat="1" applyBorder="1"/>
    <xf numFmtId="164" fontId="0" fillId="4" borderId="4" xfId="0" applyNumberFormat="1" applyFont="1" applyFill="1" applyBorder="1"/>
    <xf numFmtId="10" fontId="3" fillId="0" borderId="54" xfId="3" applyNumberFormat="1" applyFont="1" applyBorder="1"/>
    <xf numFmtId="164" fontId="0" fillId="7" borderId="17" xfId="0" applyNumberFormat="1" applyFill="1" applyBorder="1"/>
    <xf numFmtId="164" fontId="0" fillId="7" borderId="55" xfId="0" applyNumberFormat="1" applyFill="1" applyBorder="1"/>
    <xf numFmtId="164" fontId="3" fillId="8" borderId="8" xfId="2" applyNumberFormat="1" applyFont="1" applyFill="1" applyBorder="1" applyAlignment="1">
      <alignment horizontal="center" vertical="center"/>
    </xf>
    <xf numFmtId="0" fontId="9" fillId="0" borderId="33" xfId="0" applyFont="1" applyBorder="1" applyAlignment="1">
      <alignment horizontal="center" vertical="center" wrapText="1"/>
    </xf>
    <xf numFmtId="0" fontId="17" fillId="0" borderId="19" xfId="0" applyFont="1" applyFill="1" applyBorder="1"/>
    <xf numFmtId="0" fontId="18" fillId="4" borderId="48" xfId="0" applyNumberFormat="1" applyFont="1" applyFill="1" applyBorder="1" applyAlignment="1" applyProtection="1">
      <alignment horizontal="center"/>
    </xf>
    <xf numFmtId="164" fontId="0" fillId="0" borderId="48" xfId="0" applyNumberFormat="1" applyBorder="1"/>
    <xf numFmtId="5" fontId="0" fillId="4" borderId="34" xfId="0" applyNumberFormat="1" applyFont="1" applyFill="1" applyBorder="1"/>
    <xf numFmtId="5" fontId="0" fillId="4" borderId="35" xfId="0" applyNumberFormat="1" applyFont="1" applyFill="1" applyBorder="1"/>
    <xf numFmtId="5" fontId="15" fillId="4" borderId="34" xfId="0" applyNumberFormat="1" applyFont="1" applyFill="1" applyBorder="1"/>
    <xf numFmtId="5" fontId="0" fillId="4" borderId="45" xfId="0" applyNumberFormat="1" applyFont="1" applyFill="1" applyBorder="1"/>
    <xf numFmtId="5" fontId="4" fillId="0" borderId="0" xfId="0" applyNumberFormat="1" applyFont="1" applyFill="1" applyBorder="1"/>
    <xf numFmtId="5" fontId="4" fillId="0" borderId="17" xfId="0" applyNumberFormat="1" applyFont="1" applyBorder="1"/>
    <xf numFmtId="5" fontId="0" fillId="0" borderId="17" xfId="0" applyNumberFormat="1" applyBorder="1"/>
    <xf numFmtId="0" fontId="9" fillId="0" borderId="33" xfId="0" applyFont="1" applyBorder="1" applyAlignment="1">
      <alignment horizontal="center" vertical="center" wrapText="1"/>
    </xf>
    <xf numFmtId="0" fontId="0" fillId="0" borderId="35" xfId="0" applyBorder="1"/>
    <xf numFmtId="165" fontId="0" fillId="0" borderId="35" xfId="0" applyNumberFormat="1" applyBorder="1"/>
    <xf numFmtId="164" fontId="4" fillId="10" borderId="13" xfId="0" applyNumberFormat="1" applyFont="1" applyFill="1" applyBorder="1"/>
    <xf numFmtId="164" fontId="4" fillId="10" borderId="18" xfId="0" applyNumberFormat="1" applyFont="1" applyFill="1" applyBorder="1"/>
    <xf numFmtId="0" fontId="9" fillId="0" borderId="33" xfId="0" applyFont="1" applyBorder="1" applyAlignment="1">
      <alignment horizontal="center" vertical="center" wrapText="1"/>
    </xf>
    <xf numFmtId="10" fontId="0" fillId="0" borderId="0" xfId="3" applyNumberFormat="1" applyFont="1"/>
    <xf numFmtId="164" fontId="4" fillId="8" borderId="8" xfId="2" applyNumberFormat="1" applyFont="1" applyFill="1" applyBorder="1" applyAlignment="1">
      <alignment horizontal="center" vertical="center"/>
    </xf>
    <xf numFmtId="10" fontId="9" fillId="0" borderId="33" xfId="3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10" fontId="3" fillId="0" borderId="55" xfId="3" applyNumberFormat="1" applyFont="1" applyBorder="1"/>
    <xf numFmtId="166" fontId="0" fillId="0" borderId="11" xfId="0" applyNumberFormat="1" applyBorder="1"/>
    <xf numFmtId="164" fontId="4" fillId="11" borderId="2" xfId="0" applyNumberFormat="1" applyFont="1" applyFill="1" applyBorder="1"/>
    <xf numFmtId="166" fontId="0" fillId="0" borderId="15" xfId="0" applyNumberFormat="1" applyBorder="1"/>
    <xf numFmtId="164" fontId="4" fillId="11" borderId="16" xfId="0" applyNumberFormat="1" applyFont="1" applyFill="1" applyBorder="1"/>
    <xf numFmtId="10" fontId="3" fillId="0" borderId="50" xfId="3" applyNumberFormat="1" applyFont="1" applyBorder="1"/>
    <xf numFmtId="166" fontId="0" fillId="0" borderId="20" xfId="0" applyNumberFormat="1" applyBorder="1"/>
    <xf numFmtId="164" fontId="4" fillId="11" borderId="3" xfId="0" applyNumberFormat="1" applyFont="1" applyFill="1" applyBorder="1"/>
    <xf numFmtId="166" fontId="0" fillId="0" borderId="0" xfId="0" applyNumberFormat="1"/>
    <xf numFmtId="164" fontId="4" fillId="2" borderId="8" xfId="0" applyNumberFormat="1" applyFont="1" applyFill="1" applyBorder="1"/>
    <xf numFmtId="0" fontId="9" fillId="0" borderId="33" xfId="0" applyFont="1" applyBorder="1" applyAlignment="1">
      <alignment horizontal="center" vertical="center" wrapText="1"/>
    </xf>
    <xf numFmtId="164" fontId="4" fillId="12" borderId="18" xfId="0" applyNumberFormat="1" applyFont="1" applyFill="1" applyBorder="1"/>
    <xf numFmtId="164" fontId="4" fillId="12" borderId="16" xfId="0" applyNumberFormat="1" applyFont="1" applyFill="1" applyBorder="1"/>
    <xf numFmtId="0" fontId="17" fillId="12" borderId="37" xfId="0" applyFont="1" applyFill="1" applyBorder="1"/>
    <xf numFmtId="0" fontId="17" fillId="13" borderId="37" xfId="0" applyFont="1" applyFill="1" applyBorder="1" applyAlignment="1">
      <alignment horizontal="left"/>
    </xf>
    <xf numFmtId="164" fontId="4" fillId="13" borderId="18" xfId="0" applyNumberFormat="1" applyFont="1" applyFill="1" applyBorder="1"/>
    <xf numFmtId="0" fontId="17" fillId="13" borderId="37" xfId="0" applyFont="1" applyFill="1" applyBorder="1"/>
    <xf numFmtId="14" fontId="0" fillId="0" borderId="35" xfId="0" applyNumberFormat="1" applyBorder="1"/>
    <xf numFmtId="0" fontId="17" fillId="12" borderId="49" xfId="0" applyFont="1" applyFill="1" applyBorder="1"/>
    <xf numFmtId="164" fontId="4" fillId="12" borderId="3" xfId="0" applyNumberFormat="1" applyFont="1" applyFill="1" applyBorder="1"/>
    <xf numFmtId="0" fontId="17" fillId="12" borderId="46" xfId="0" applyFont="1" applyFill="1" applyBorder="1"/>
    <xf numFmtId="0" fontId="17" fillId="12" borderId="37" xfId="0" applyFont="1" applyFill="1" applyBorder="1" applyAlignment="1">
      <alignment horizontal="left"/>
    </xf>
    <xf numFmtId="0" fontId="9" fillId="3" borderId="38" xfId="0" applyFont="1" applyFill="1" applyBorder="1" applyAlignment="1">
      <alignment horizontal="center" vertical="center" wrapText="1"/>
    </xf>
    <xf numFmtId="0" fontId="9" fillId="3" borderId="39" xfId="0" applyFont="1" applyFill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17" fontId="11" fillId="0" borderId="33" xfId="0" applyNumberFormat="1" applyFont="1" applyBorder="1" applyAlignment="1">
      <alignment horizontal="left" vertical="center" wrapText="1"/>
    </xf>
    <xf numFmtId="17" fontId="11" fillId="0" borderId="7" xfId="0" applyNumberFormat="1" applyFont="1" applyBorder="1" applyAlignment="1">
      <alignment horizontal="left" vertical="center" wrapText="1"/>
    </xf>
    <xf numFmtId="17" fontId="11" fillId="0" borderId="36" xfId="0" applyNumberFormat="1" applyFont="1" applyBorder="1" applyAlignment="1">
      <alignment horizontal="left" vertical="center" wrapText="1"/>
    </xf>
    <xf numFmtId="17" fontId="11" fillId="0" borderId="41" xfId="0" applyNumberFormat="1" applyFont="1" applyBorder="1" applyAlignment="1">
      <alignment horizontal="left" vertical="center"/>
    </xf>
    <xf numFmtId="17" fontId="11" fillId="0" borderId="42" xfId="0" applyNumberFormat="1" applyFont="1" applyBorder="1" applyAlignment="1">
      <alignment horizontal="left" vertical="center"/>
    </xf>
    <xf numFmtId="17" fontId="11" fillId="0" borderId="43" xfId="0" applyNumberFormat="1" applyFont="1" applyBorder="1" applyAlignment="1">
      <alignment horizontal="left" vertical="center"/>
    </xf>
    <xf numFmtId="17" fontId="11" fillId="0" borderId="44" xfId="0" applyNumberFormat="1" applyFont="1" applyBorder="1" applyAlignment="1">
      <alignment horizontal="left" vertical="center"/>
    </xf>
    <xf numFmtId="17" fontId="11" fillId="0" borderId="45" xfId="0" applyNumberFormat="1" applyFont="1" applyBorder="1" applyAlignment="1">
      <alignment horizontal="left" vertical="center"/>
    </xf>
    <xf numFmtId="0" fontId="9" fillId="2" borderId="33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40" xfId="0" applyFont="1" applyFill="1" applyBorder="1" applyAlignment="1">
      <alignment horizontal="center" vertical="center" wrapText="1"/>
    </xf>
    <xf numFmtId="0" fontId="9" fillId="2" borderId="38" xfId="0" applyFont="1" applyFill="1" applyBorder="1" applyAlignment="1">
      <alignment horizontal="center" vertical="center" wrapText="1"/>
    </xf>
    <xf numFmtId="0" fontId="9" fillId="2" borderId="39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9" fillId="2" borderId="33" xfId="0" applyFont="1" applyFill="1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9" fillId="2" borderId="40" xfId="0" applyFont="1" applyFill="1" applyBorder="1" applyAlignment="1">
      <alignment horizontal="center"/>
    </xf>
    <xf numFmtId="0" fontId="17" fillId="12" borderId="48" xfId="0" applyFont="1" applyFill="1" applyBorder="1" applyAlignment="1">
      <alignment horizontal="left"/>
    </xf>
  </cellXfs>
  <cellStyles count="4">
    <cellStyle name="Čárka" xfId="1" builtinId="3"/>
    <cellStyle name="Měna" xfId="2" builtinId="4"/>
    <cellStyle name="Normální" xfId="0" builtinId="0"/>
    <cellStyle name="Procenta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4.xml"/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8"/>
  <sheetViews>
    <sheetView zoomScale="85" zoomScaleNormal="85" workbookViewId="0">
      <selection activeCell="K12" sqref="K12"/>
    </sheetView>
  </sheetViews>
  <sheetFormatPr baseColWidth="10" defaultColWidth="8.83203125" defaultRowHeight="15"/>
  <cols>
    <col min="1" max="1" width="29.5" customWidth="1"/>
    <col min="2" max="2" width="14" style="2" customWidth="1"/>
    <col min="3" max="3" width="6.1640625" style="2" customWidth="1"/>
    <col min="4" max="5" width="15" customWidth="1"/>
    <col min="6" max="6" width="16.33203125" customWidth="1"/>
    <col min="7" max="7" width="18.33203125" customWidth="1"/>
    <col min="8" max="8" width="16.83203125" customWidth="1"/>
    <col min="9" max="9" width="5.5" customWidth="1"/>
    <col min="10" max="12" width="14.5" customWidth="1"/>
    <col min="13" max="14" width="15.6640625" customWidth="1"/>
  </cols>
  <sheetData>
    <row r="1" spans="1:8" ht="19">
      <c r="A1" s="1" t="s">
        <v>45</v>
      </c>
    </row>
    <row r="2" spans="1:8" ht="16">
      <c r="A2" s="3" t="s">
        <v>44</v>
      </c>
    </row>
    <row r="3" spans="1:8" ht="16">
      <c r="A3" s="4" t="s">
        <v>0</v>
      </c>
    </row>
    <row r="4" spans="1:8">
      <c r="A4" s="5" t="s">
        <v>40</v>
      </c>
    </row>
    <row r="5" spans="1:8" ht="16" thickBot="1">
      <c r="A5" s="5"/>
    </row>
    <row r="6" spans="1:8" ht="17" thickBot="1">
      <c r="A6" s="253" t="s">
        <v>1</v>
      </c>
      <c r="B6" s="254"/>
      <c r="C6" s="255"/>
      <c r="D6" s="6">
        <f>5400000-70000</f>
        <v>5330000</v>
      </c>
    </row>
    <row r="7" spans="1:8" ht="16">
      <c r="A7" s="256" t="s">
        <v>2</v>
      </c>
      <c r="B7" s="257"/>
      <c r="C7" s="258"/>
      <c r="D7" s="7">
        <v>230000</v>
      </c>
    </row>
    <row r="8" spans="1:8" ht="17" thickBot="1">
      <c r="A8" s="259" t="s">
        <v>3</v>
      </c>
      <c r="B8" s="260"/>
      <c r="C8" s="260"/>
      <c r="D8" s="8">
        <f>D6-D7</f>
        <v>5100000</v>
      </c>
    </row>
    <row r="9" spans="1:8" s="11" customFormat="1" ht="17" thickBot="1">
      <c r="A9" s="9"/>
      <c r="B9" s="10"/>
      <c r="C9" s="10"/>
      <c r="E9" s="12"/>
      <c r="F9" s="13"/>
    </row>
    <row r="10" spans="1:8" s="9" customFormat="1" ht="17" thickBot="1">
      <c r="B10" s="14"/>
      <c r="C10" s="15"/>
      <c r="D10" s="261" t="s">
        <v>41</v>
      </c>
      <c r="E10" s="262"/>
      <c r="F10" s="263"/>
      <c r="G10" s="264" t="s">
        <v>42</v>
      </c>
      <c r="H10" s="249" t="s">
        <v>43</v>
      </c>
    </row>
    <row r="11" spans="1:8" s="20" customFormat="1" ht="17" thickBot="1">
      <c r="A11" s="251" t="s">
        <v>39</v>
      </c>
      <c r="B11" s="252"/>
      <c r="C11" s="16"/>
      <c r="D11" s="17" t="s">
        <v>4</v>
      </c>
      <c r="E11" s="18" t="s">
        <v>5</v>
      </c>
      <c r="F11" s="19" t="s">
        <v>6</v>
      </c>
      <c r="G11" s="265"/>
      <c r="H11" s="250"/>
    </row>
    <row r="12" spans="1:8" ht="16">
      <c r="A12" s="21" t="s">
        <v>7</v>
      </c>
      <c r="B12" s="22">
        <v>58</v>
      </c>
      <c r="D12" s="23">
        <f t="shared" ref="D12:D36" si="0">$D$46/2</f>
        <v>40800</v>
      </c>
      <c r="E12" s="24">
        <f>B12*E46/2</f>
        <v>85491.329479768785</v>
      </c>
      <c r="F12" s="25">
        <f t="shared" ref="F12:F41" si="1">(D12+E12)</f>
        <v>126291.32947976878</v>
      </c>
      <c r="G12" s="26">
        <f t="shared" ref="G12:G41" si="2">B12*$G$46/2</f>
        <v>85491.3294797688</v>
      </c>
      <c r="H12" s="27">
        <f t="shared" ref="H12:H41" si="3">G12+F12</f>
        <v>211782.65895953757</v>
      </c>
    </row>
    <row r="13" spans="1:8" ht="16">
      <c r="A13" s="35" t="s">
        <v>12</v>
      </c>
      <c r="B13" s="29">
        <v>38</v>
      </c>
      <c r="D13" s="30">
        <f t="shared" si="0"/>
        <v>40800</v>
      </c>
      <c r="E13" s="31">
        <f t="shared" ref="E13:E41" si="4">B13*$E$46/2</f>
        <v>56011.560693641615</v>
      </c>
      <c r="F13" s="32">
        <f t="shared" si="1"/>
        <v>96811.560693641615</v>
      </c>
      <c r="G13" s="33">
        <f t="shared" si="2"/>
        <v>56011.56069364163</v>
      </c>
      <c r="H13" s="34">
        <f t="shared" si="3"/>
        <v>152823.12138728326</v>
      </c>
    </row>
    <row r="14" spans="1:8" ht="16">
      <c r="A14" s="28" t="s">
        <v>8</v>
      </c>
      <c r="B14" s="29">
        <v>38</v>
      </c>
      <c r="D14" s="30">
        <f t="shared" si="0"/>
        <v>40800</v>
      </c>
      <c r="E14" s="31">
        <f t="shared" si="4"/>
        <v>56011.560693641615</v>
      </c>
      <c r="F14" s="32">
        <f t="shared" si="1"/>
        <v>96811.560693641615</v>
      </c>
      <c r="G14" s="33">
        <f t="shared" si="2"/>
        <v>56011.56069364163</v>
      </c>
      <c r="H14" s="34">
        <f t="shared" si="3"/>
        <v>152823.12138728326</v>
      </c>
    </row>
    <row r="15" spans="1:8" ht="16">
      <c r="A15" s="28" t="s">
        <v>11</v>
      </c>
      <c r="B15" s="29">
        <v>34</v>
      </c>
      <c r="D15" s="30">
        <f t="shared" si="0"/>
        <v>40800</v>
      </c>
      <c r="E15" s="31">
        <f t="shared" si="4"/>
        <v>50115.606936416181</v>
      </c>
      <c r="F15" s="32">
        <f t="shared" si="1"/>
        <v>90915.606936416181</v>
      </c>
      <c r="G15" s="33">
        <f t="shared" si="2"/>
        <v>50115.606936416196</v>
      </c>
      <c r="H15" s="34">
        <f t="shared" si="3"/>
        <v>141031.21387283236</v>
      </c>
    </row>
    <row r="16" spans="1:8" ht="16">
      <c r="A16" s="35" t="s">
        <v>14</v>
      </c>
      <c r="B16" s="29">
        <v>25</v>
      </c>
      <c r="D16" s="30">
        <f t="shared" si="0"/>
        <v>40800</v>
      </c>
      <c r="E16" s="31">
        <f t="shared" si="4"/>
        <v>36849.710982658959</v>
      </c>
      <c r="F16" s="32">
        <f t="shared" si="1"/>
        <v>77649.710982658959</v>
      </c>
      <c r="G16" s="33">
        <f t="shared" si="2"/>
        <v>36849.710982658966</v>
      </c>
      <c r="H16" s="34">
        <f t="shared" si="3"/>
        <v>114499.42196531792</v>
      </c>
    </row>
    <row r="17" spans="1:8" ht="16">
      <c r="A17" s="35" t="s">
        <v>10</v>
      </c>
      <c r="B17" s="29">
        <v>23</v>
      </c>
      <c r="D17" s="30">
        <f t="shared" si="0"/>
        <v>40800</v>
      </c>
      <c r="E17" s="31">
        <f t="shared" si="4"/>
        <v>33901.734104046242</v>
      </c>
      <c r="F17" s="32">
        <f t="shared" si="1"/>
        <v>74701.734104046249</v>
      </c>
      <c r="G17" s="33">
        <f t="shared" si="2"/>
        <v>33901.734104046249</v>
      </c>
      <c r="H17" s="34">
        <f t="shared" si="3"/>
        <v>108603.4682080925</v>
      </c>
    </row>
    <row r="18" spans="1:8" ht="16">
      <c r="A18" s="28" t="s">
        <v>9</v>
      </c>
      <c r="B18" s="29">
        <v>22</v>
      </c>
      <c r="D18" s="30">
        <f t="shared" si="0"/>
        <v>40800</v>
      </c>
      <c r="E18" s="31">
        <f t="shared" si="4"/>
        <v>32427.745664739883</v>
      </c>
      <c r="F18" s="32">
        <f t="shared" si="1"/>
        <v>73227.745664739879</v>
      </c>
      <c r="G18" s="33">
        <f t="shared" si="2"/>
        <v>32427.74566473989</v>
      </c>
      <c r="H18" s="34">
        <f t="shared" si="3"/>
        <v>105655.49132947977</v>
      </c>
    </row>
    <row r="19" spans="1:8" ht="16">
      <c r="A19" s="28" t="s">
        <v>13</v>
      </c>
      <c r="B19" s="29">
        <v>22</v>
      </c>
      <c r="D19" s="30">
        <f t="shared" si="0"/>
        <v>40800</v>
      </c>
      <c r="E19" s="31">
        <f t="shared" si="4"/>
        <v>32427.745664739883</v>
      </c>
      <c r="F19" s="32">
        <f t="shared" si="1"/>
        <v>73227.745664739879</v>
      </c>
      <c r="G19" s="33">
        <f t="shared" si="2"/>
        <v>32427.74566473989</v>
      </c>
      <c r="H19" s="34">
        <f t="shared" si="3"/>
        <v>105655.49132947977</v>
      </c>
    </row>
    <row r="20" spans="1:8" ht="16">
      <c r="A20" s="35" t="s">
        <v>17</v>
      </c>
      <c r="B20" s="29">
        <v>20</v>
      </c>
      <c r="D20" s="30">
        <f t="shared" si="0"/>
        <v>40800</v>
      </c>
      <c r="E20" s="31">
        <f t="shared" si="4"/>
        <v>29479.768786127166</v>
      </c>
      <c r="F20" s="32">
        <f t="shared" si="1"/>
        <v>70279.76878612717</v>
      </c>
      <c r="G20" s="33">
        <f t="shared" si="2"/>
        <v>29479.768786127173</v>
      </c>
      <c r="H20" s="34">
        <f t="shared" si="3"/>
        <v>99759.537572254339</v>
      </c>
    </row>
    <row r="21" spans="1:8" ht="16">
      <c r="A21" s="28" t="s">
        <v>21</v>
      </c>
      <c r="B21" s="29">
        <v>19</v>
      </c>
      <c r="D21" s="30">
        <f t="shared" si="0"/>
        <v>40800</v>
      </c>
      <c r="E21" s="31">
        <f t="shared" si="4"/>
        <v>28005.780346820808</v>
      </c>
      <c r="F21" s="32">
        <f t="shared" si="1"/>
        <v>68805.7803468208</v>
      </c>
      <c r="G21" s="33">
        <f t="shared" si="2"/>
        <v>28005.780346820815</v>
      </c>
      <c r="H21" s="34">
        <f t="shared" si="3"/>
        <v>96811.560693641615</v>
      </c>
    </row>
    <row r="22" spans="1:8" ht="16">
      <c r="A22" s="28" t="s">
        <v>15</v>
      </c>
      <c r="B22" s="29">
        <v>18</v>
      </c>
      <c r="D22" s="30">
        <f t="shared" si="0"/>
        <v>40800</v>
      </c>
      <c r="E22" s="31">
        <f t="shared" si="4"/>
        <v>26531.791907514449</v>
      </c>
      <c r="F22" s="32">
        <f t="shared" si="1"/>
        <v>67331.791907514445</v>
      </c>
      <c r="G22" s="33">
        <f t="shared" si="2"/>
        <v>26531.791907514456</v>
      </c>
      <c r="H22" s="34">
        <f t="shared" si="3"/>
        <v>93863.583815028906</v>
      </c>
    </row>
    <row r="23" spans="1:8" ht="16">
      <c r="A23" s="35" t="s">
        <v>27</v>
      </c>
      <c r="B23" s="29">
        <v>18</v>
      </c>
      <c r="D23" s="30">
        <f t="shared" si="0"/>
        <v>40800</v>
      </c>
      <c r="E23" s="31">
        <f t="shared" si="4"/>
        <v>26531.791907514449</v>
      </c>
      <c r="F23" s="32">
        <f t="shared" si="1"/>
        <v>67331.791907514445</v>
      </c>
      <c r="G23" s="33">
        <f t="shared" si="2"/>
        <v>26531.791907514456</v>
      </c>
      <c r="H23" s="34">
        <f t="shared" si="3"/>
        <v>93863.583815028906</v>
      </c>
    </row>
    <row r="24" spans="1:8" ht="16">
      <c r="A24" s="28" t="s">
        <v>20</v>
      </c>
      <c r="B24" s="29">
        <v>17</v>
      </c>
      <c r="D24" s="30">
        <f t="shared" si="0"/>
        <v>40800</v>
      </c>
      <c r="E24" s="31">
        <f t="shared" si="4"/>
        <v>25057.803468208091</v>
      </c>
      <c r="F24" s="32">
        <f t="shared" si="1"/>
        <v>65857.803468208091</v>
      </c>
      <c r="G24" s="33">
        <f t="shared" si="2"/>
        <v>25057.803468208098</v>
      </c>
      <c r="H24" s="34">
        <f t="shared" si="3"/>
        <v>90915.606936416181</v>
      </c>
    </row>
    <row r="25" spans="1:8" ht="16">
      <c r="A25" s="35" t="s">
        <v>18</v>
      </c>
      <c r="B25" s="29">
        <v>16</v>
      </c>
      <c r="D25" s="30">
        <f t="shared" si="0"/>
        <v>40800</v>
      </c>
      <c r="E25" s="31">
        <f t="shared" si="4"/>
        <v>23583.815028901732</v>
      </c>
      <c r="F25" s="32">
        <f t="shared" si="1"/>
        <v>64383.815028901736</v>
      </c>
      <c r="G25" s="33">
        <f t="shared" si="2"/>
        <v>23583.815028901739</v>
      </c>
      <c r="H25" s="34">
        <f t="shared" si="3"/>
        <v>87967.630057803472</v>
      </c>
    </row>
    <row r="26" spans="1:8" ht="16">
      <c r="A26" s="28" t="s">
        <v>25</v>
      </c>
      <c r="B26" s="29">
        <v>15</v>
      </c>
      <c r="D26" s="30">
        <f t="shared" si="0"/>
        <v>40800</v>
      </c>
      <c r="E26" s="31">
        <f t="shared" si="4"/>
        <v>22109.826589595374</v>
      </c>
      <c r="F26" s="32">
        <f t="shared" si="1"/>
        <v>62909.826589595374</v>
      </c>
      <c r="G26" s="33">
        <f t="shared" si="2"/>
        <v>22109.826589595381</v>
      </c>
      <c r="H26" s="34">
        <f t="shared" si="3"/>
        <v>85019.653179190762</v>
      </c>
    </row>
    <row r="27" spans="1:8" ht="16">
      <c r="A27" s="28" t="s">
        <v>28</v>
      </c>
      <c r="B27" s="29">
        <v>15</v>
      </c>
      <c r="D27" s="30">
        <f t="shared" si="0"/>
        <v>40800</v>
      </c>
      <c r="E27" s="31">
        <f t="shared" si="4"/>
        <v>22109.826589595374</v>
      </c>
      <c r="F27" s="32">
        <f t="shared" si="1"/>
        <v>62909.826589595374</v>
      </c>
      <c r="G27" s="33">
        <f t="shared" si="2"/>
        <v>22109.826589595381</v>
      </c>
      <c r="H27" s="34">
        <f t="shared" si="3"/>
        <v>85019.653179190762</v>
      </c>
    </row>
    <row r="28" spans="1:8" ht="16">
      <c r="A28" s="35" t="s">
        <v>24</v>
      </c>
      <c r="B28" s="29">
        <v>14</v>
      </c>
      <c r="D28" s="30">
        <f t="shared" si="0"/>
        <v>40800</v>
      </c>
      <c r="E28" s="31">
        <f t="shared" si="4"/>
        <v>20635.838150289015</v>
      </c>
      <c r="F28" s="32">
        <f t="shared" si="1"/>
        <v>61435.838150289012</v>
      </c>
      <c r="G28" s="33">
        <f t="shared" si="2"/>
        <v>20635.838150289022</v>
      </c>
      <c r="H28" s="34">
        <f t="shared" si="3"/>
        <v>82071.676300578038</v>
      </c>
    </row>
    <row r="29" spans="1:8" ht="16">
      <c r="A29" s="28" t="s">
        <v>23</v>
      </c>
      <c r="B29" s="29">
        <v>14</v>
      </c>
      <c r="D29" s="30">
        <f t="shared" si="0"/>
        <v>40800</v>
      </c>
      <c r="E29" s="31">
        <f t="shared" si="4"/>
        <v>20635.838150289015</v>
      </c>
      <c r="F29" s="32">
        <f t="shared" si="1"/>
        <v>61435.838150289012</v>
      </c>
      <c r="G29" s="33">
        <f t="shared" si="2"/>
        <v>20635.838150289022</v>
      </c>
      <c r="H29" s="34">
        <f t="shared" si="3"/>
        <v>82071.676300578038</v>
      </c>
    </row>
    <row r="30" spans="1:8" ht="16">
      <c r="A30" s="71" t="s">
        <v>16</v>
      </c>
      <c r="B30" s="72">
        <v>13</v>
      </c>
      <c r="D30" s="30">
        <f t="shared" si="0"/>
        <v>40800</v>
      </c>
      <c r="E30" s="31">
        <f t="shared" si="4"/>
        <v>19161.849710982657</v>
      </c>
      <c r="F30" s="32">
        <f t="shared" si="1"/>
        <v>59961.849710982657</v>
      </c>
      <c r="G30" s="33">
        <f t="shared" si="2"/>
        <v>19161.849710982664</v>
      </c>
      <c r="H30" s="34">
        <f t="shared" si="3"/>
        <v>79123.699421965313</v>
      </c>
    </row>
    <row r="31" spans="1:8" ht="16">
      <c r="A31" s="28" t="s">
        <v>19</v>
      </c>
      <c r="B31" s="29">
        <v>12</v>
      </c>
      <c r="D31" s="38">
        <f t="shared" si="0"/>
        <v>40800</v>
      </c>
      <c r="E31" s="39">
        <f t="shared" si="4"/>
        <v>17687.861271676298</v>
      </c>
      <c r="F31" s="40">
        <f t="shared" si="1"/>
        <v>58487.861271676302</v>
      </c>
      <c r="G31" s="33">
        <f t="shared" si="2"/>
        <v>17687.861271676305</v>
      </c>
      <c r="H31" s="27">
        <f t="shared" si="3"/>
        <v>76175.722543352604</v>
      </c>
    </row>
    <row r="32" spans="1:8" ht="16">
      <c r="A32" s="28" t="s">
        <v>22</v>
      </c>
      <c r="B32" s="29">
        <v>10</v>
      </c>
      <c r="D32" s="30">
        <f t="shared" si="0"/>
        <v>40800</v>
      </c>
      <c r="E32" s="31">
        <f t="shared" si="4"/>
        <v>14739.884393063583</v>
      </c>
      <c r="F32" s="32">
        <f t="shared" si="1"/>
        <v>55539.884393063585</v>
      </c>
      <c r="G32" s="33">
        <f t="shared" si="2"/>
        <v>14739.884393063587</v>
      </c>
      <c r="H32" s="34">
        <f t="shared" si="3"/>
        <v>70279.76878612717</v>
      </c>
    </row>
    <row r="33" spans="1:14" ht="16">
      <c r="A33" s="28" t="s">
        <v>33</v>
      </c>
      <c r="B33" s="29">
        <v>10</v>
      </c>
      <c r="D33" s="30">
        <f t="shared" si="0"/>
        <v>40800</v>
      </c>
      <c r="E33" s="31">
        <f t="shared" si="4"/>
        <v>14739.884393063583</v>
      </c>
      <c r="F33" s="32">
        <f t="shared" si="1"/>
        <v>55539.884393063585</v>
      </c>
      <c r="G33" s="33">
        <f t="shared" si="2"/>
        <v>14739.884393063587</v>
      </c>
      <c r="H33" s="34">
        <f t="shared" si="3"/>
        <v>70279.76878612717</v>
      </c>
    </row>
    <row r="34" spans="1:14" ht="16">
      <c r="A34" s="28" t="s">
        <v>34</v>
      </c>
      <c r="B34" s="29">
        <v>9</v>
      </c>
      <c r="D34" s="30">
        <f t="shared" si="0"/>
        <v>40800</v>
      </c>
      <c r="E34" s="31">
        <f t="shared" si="4"/>
        <v>13265.895953757225</v>
      </c>
      <c r="F34" s="32">
        <f t="shared" si="1"/>
        <v>54065.895953757223</v>
      </c>
      <c r="G34" s="33">
        <f t="shared" si="2"/>
        <v>13265.895953757228</v>
      </c>
      <c r="H34" s="34">
        <f t="shared" si="3"/>
        <v>67331.791907514445</v>
      </c>
    </row>
    <row r="35" spans="1:14" ht="16">
      <c r="A35" s="28" t="s">
        <v>26</v>
      </c>
      <c r="B35" s="29">
        <v>8</v>
      </c>
      <c r="D35" s="30">
        <f t="shared" si="0"/>
        <v>40800</v>
      </c>
      <c r="E35" s="31">
        <f t="shared" si="4"/>
        <v>11791.907514450866</v>
      </c>
      <c r="F35" s="32">
        <f t="shared" si="1"/>
        <v>52591.907514450868</v>
      </c>
      <c r="G35" s="33">
        <f t="shared" si="2"/>
        <v>11791.90751445087</v>
      </c>
      <c r="H35" s="34">
        <f t="shared" si="3"/>
        <v>64383.815028901736</v>
      </c>
    </row>
    <row r="36" spans="1:14" ht="17" thickBot="1">
      <c r="A36" s="85" t="s">
        <v>38</v>
      </c>
      <c r="B36" s="87">
        <v>8</v>
      </c>
      <c r="C36" s="2">
        <f>COUNT(B10:B36)</f>
        <v>25</v>
      </c>
      <c r="D36" s="49">
        <f t="shared" si="0"/>
        <v>40800</v>
      </c>
      <c r="E36" s="50">
        <f t="shared" si="4"/>
        <v>11791.907514450866</v>
      </c>
      <c r="F36" s="51">
        <f t="shared" si="1"/>
        <v>52591.907514450868</v>
      </c>
      <c r="G36" s="52">
        <f t="shared" si="2"/>
        <v>11791.90751445087</v>
      </c>
      <c r="H36" s="53">
        <f t="shared" si="3"/>
        <v>64383.815028901736</v>
      </c>
    </row>
    <row r="37" spans="1:14" ht="16">
      <c r="A37" s="86" t="s">
        <v>35</v>
      </c>
      <c r="B37" s="88">
        <v>7</v>
      </c>
      <c r="D37" s="38"/>
      <c r="E37" s="39">
        <f t="shared" si="4"/>
        <v>10317.919075144508</v>
      </c>
      <c r="F37" s="40">
        <f t="shared" si="1"/>
        <v>10317.919075144508</v>
      </c>
      <c r="G37" s="26">
        <f t="shared" si="2"/>
        <v>10317.919075144511</v>
      </c>
      <c r="H37" s="27">
        <f t="shared" si="3"/>
        <v>20635.838150289019</v>
      </c>
    </row>
    <row r="38" spans="1:14" ht="16">
      <c r="A38" s="41" t="s">
        <v>29</v>
      </c>
      <c r="B38" s="42">
        <v>5</v>
      </c>
      <c r="C38" s="43"/>
      <c r="D38" s="44"/>
      <c r="E38" s="45">
        <f t="shared" si="4"/>
        <v>7369.9421965317915</v>
      </c>
      <c r="F38" s="46">
        <f t="shared" si="1"/>
        <v>7369.9421965317915</v>
      </c>
      <c r="G38" s="47">
        <f t="shared" si="2"/>
        <v>7369.9421965317933</v>
      </c>
      <c r="H38" s="48">
        <f t="shared" si="3"/>
        <v>14739.884393063585</v>
      </c>
    </row>
    <row r="39" spans="1:14" ht="16">
      <c r="A39" s="28" t="s">
        <v>32</v>
      </c>
      <c r="B39" s="29">
        <v>4</v>
      </c>
      <c r="D39" s="73"/>
      <c r="E39" s="74">
        <f t="shared" si="4"/>
        <v>5895.953757225433</v>
      </c>
      <c r="F39" s="75">
        <f t="shared" si="1"/>
        <v>5895.953757225433</v>
      </c>
      <c r="G39" s="76">
        <f t="shared" si="2"/>
        <v>5895.9537572254349</v>
      </c>
      <c r="H39" s="77">
        <f t="shared" si="3"/>
        <v>11791.907514450868</v>
      </c>
    </row>
    <row r="40" spans="1:14" ht="16">
      <c r="A40" s="78" t="s">
        <v>30</v>
      </c>
      <c r="B40" s="79">
        <v>4</v>
      </c>
      <c r="C40" s="43"/>
      <c r="D40" s="80"/>
      <c r="E40" s="81">
        <f t="shared" si="4"/>
        <v>5895.953757225433</v>
      </c>
      <c r="F40" s="82">
        <f t="shared" si="1"/>
        <v>5895.953757225433</v>
      </c>
      <c r="G40" s="83">
        <f t="shared" si="2"/>
        <v>5895.9537572254349</v>
      </c>
      <c r="H40" s="84">
        <f t="shared" si="3"/>
        <v>11791.907514450868</v>
      </c>
    </row>
    <row r="41" spans="1:14" ht="17" thickBot="1">
      <c r="A41" s="36" t="s">
        <v>31</v>
      </c>
      <c r="B41" s="37">
        <v>3</v>
      </c>
      <c r="D41" s="49"/>
      <c r="E41" s="50">
        <f t="shared" si="4"/>
        <v>4421.9653179190746</v>
      </c>
      <c r="F41" s="51">
        <f t="shared" si="1"/>
        <v>4421.9653179190746</v>
      </c>
      <c r="G41" s="52">
        <f t="shared" si="2"/>
        <v>4421.9653179190764</v>
      </c>
      <c r="H41" s="53">
        <f t="shared" si="3"/>
        <v>8843.9306358381509</v>
      </c>
    </row>
    <row r="42" spans="1:14" ht="16">
      <c r="A42" s="54" t="s">
        <v>36</v>
      </c>
      <c r="B42" s="55">
        <f>SUM(B12:B41)</f>
        <v>519</v>
      </c>
      <c r="C42" s="56">
        <f>SUM(C30:C41)</f>
        <v>25</v>
      </c>
      <c r="D42" s="57">
        <f>SUM(D12:D41)</f>
        <v>1020000</v>
      </c>
      <c r="E42" s="57">
        <f>SUM(E12:E41)</f>
        <v>764999.99999999977</v>
      </c>
      <c r="F42" s="58">
        <f>SUM(F12:F41)</f>
        <v>1784999.9999999998</v>
      </c>
      <c r="G42" s="58">
        <f>SUM(G12:G41)</f>
        <v>765000</v>
      </c>
      <c r="H42" s="58">
        <f>SUM(H12:H41)</f>
        <v>2550000.0000000005</v>
      </c>
    </row>
    <row r="43" spans="1:14" ht="16">
      <c r="A43" s="59"/>
      <c r="B43" s="60"/>
      <c r="D43" s="57"/>
      <c r="E43" s="57"/>
      <c r="F43" s="57"/>
      <c r="G43" s="57"/>
      <c r="H43" s="57"/>
    </row>
    <row r="44" spans="1:14" ht="18.75" customHeight="1">
      <c r="A44" s="61" t="s">
        <v>37</v>
      </c>
      <c r="B44" s="62">
        <v>0.7</v>
      </c>
      <c r="D44" s="63">
        <v>0.4</v>
      </c>
      <c r="E44" s="63">
        <f>F44-D44</f>
        <v>0.29999999999999993</v>
      </c>
      <c r="F44" s="63">
        <f>B44</f>
        <v>0.7</v>
      </c>
      <c r="G44" s="64">
        <f>1-F44</f>
        <v>0.30000000000000004</v>
      </c>
      <c r="H44" s="63">
        <f>H45/H45</f>
        <v>1</v>
      </c>
    </row>
    <row r="45" spans="1:14" ht="13.5" hidden="1" customHeight="1">
      <c r="D45" s="65">
        <f>H45*D44</f>
        <v>2040000</v>
      </c>
      <c r="E45" s="65">
        <f>H45*E44</f>
        <v>1529999.9999999998</v>
      </c>
      <c r="F45" s="65">
        <f>H45*F44</f>
        <v>3570000</v>
      </c>
      <c r="G45" s="65">
        <f>H45*G44</f>
        <v>1530000.0000000002</v>
      </c>
      <c r="H45" s="66">
        <f>D8</f>
        <v>5100000</v>
      </c>
      <c r="J45" s="65" t="e">
        <f>#REF!*#REF!</f>
        <v>#REF!</v>
      </c>
      <c r="K45" s="65" t="e">
        <f>#REF!*#REF!</f>
        <v>#REF!</v>
      </c>
      <c r="L45" s="67"/>
      <c r="M45" s="65"/>
      <c r="N45" s="66" t="e">
        <f>#REF!</f>
        <v>#REF!</v>
      </c>
    </row>
    <row r="46" spans="1:14" ht="16.5" hidden="1" customHeight="1">
      <c r="D46" s="68">
        <f>D45/C42</f>
        <v>81600</v>
      </c>
      <c r="E46" s="68">
        <f>E45/B42</f>
        <v>2947.9768786127165</v>
      </c>
      <c r="F46" s="68">
        <f>F45/B42</f>
        <v>6878.6127167630057</v>
      </c>
      <c r="G46" s="68">
        <f>G45/B42</f>
        <v>2947.9768786127174</v>
      </c>
      <c r="H46" s="69">
        <f>H45/B42</f>
        <v>9826.5895953757226</v>
      </c>
      <c r="J46" s="68" t="e">
        <f>J45/C30</f>
        <v>#REF!</v>
      </c>
      <c r="K46" s="68" t="e">
        <f>K45/B42</f>
        <v>#REF!</v>
      </c>
      <c r="M46" s="68"/>
      <c r="N46" s="69"/>
    </row>
    <row r="48" spans="1:14">
      <c r="D48" s="70"/>
      <c r="E48" s="70"/>
      <c r="F48" s="70"/>
      <c r="G48" s="70"/>
      <c r="H48" s="70"/>
    </row>
  </sheetData>
  <mergeCells count="7">
    <mergeCell ref="H10:H11"/>
    <mergeCell ref="A11:B11"/>
    <mergeCell ref="A6:C6"/>
    <mergeCell ref="A7:C7"/>
    <mergeCell ref="A8:C8"/>
    <mergeCell ref="D10:F10"/>
    <mergeCell ref="G10:G11"/>
  </mergeCells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62"/>
  <sheetViews>
    <sheetView zoomScale="80" zoomScaleNormal="80" workbookViewId="0">
      <selection activeCell="A52" sqref="A52"/>
    </sheetView>
  </sheetViews>
  <sheetFormatPr baseColWidth="10" defaultColWidth="8.83203125" defaultRowHeight="15"/>
  <cols>
    <col min="1" max="1" width="45.5" customWidth="1"/>
    <col min="2" max="2" width="21.6640625" style="2" customWidth="1"/>
    <col min="3" max="3" width="10.33203125" style="2" customWidth="1"/>
    <col min="4" max="4" width="15" customWidth="1"/>
    <col min="5" max="5" width="18.83203125" customWidth="1"/>
    <col min="6" max="6" width="13.83203125" bestFit="1" customWidth="1"/>
    <col min="7" max="7" width="8.5" style="94" bestFit="1" customWidth="1"/>
    <col min="8" max="8" width="10.33203125" customWidth="1"/>
  </cols>
  <sheetData>
    <row r="1" spans="1:7" ht="18.75" customHeight="1">
      <c r="A1" s="266" t="s">
        <v>110</v>
      </c>
      <c r="B1" s="266"/>
      <c r="C1" s="266"/>
      <c r="D1" s="266"/>
      <c r="E1" s="266"/>
      <c r="F1" s="266"/>
    </row>
    <row r="2" spans="1:7" ht="18.75" customHeight="1">
      <c r="A2" s="266"/>
      <c r="B2" s="266"/>
      <c r="C2" s="266"/>
      <c r="D2" s="266"/>
      <c r="E2" s="266"/>
      <c r="F2" s="266"/>
    </row>
    <row r="3" spans="1:7" ht="18.75" customHeight="1">
      <c r="A3" s="266"/>
      <c r="B3" s="266"/>
      <c r="C3" s="266"/>
      <c r="D3" s="266"/>
      <c r="E3" s="266"/>
      <c r="F3" s="266"/>
    </row>
    <row r="4" spans="1:7" ht="16">
      <c r="A4" s="3" t="s">
        <v>111</v>
      </c>
    </row>
    <row r="5" spans="1:7" ht="16">
      <c r="A5" s="4" t="s">
        <v>71</v>
      </c>
    </row>
    <row r="6" spans="1:7" ht="16.5" customHeight="1" thickBot="1">
      <c r="A6" s="5"/>
    </row>
    <row r="7" spans="1:7" ht="17" thickBot="1">
      <c r="B7" s="267" t="s">
        <v>54</v>
      </c>
      <c r="C7" s="268"/>
      <c r="D7" s="268"/>
      <c r="E7" s="268"/>
      <c r="F7" s="269"/>
    </row>
    <row r="8" spans="1:7" ht="17" thickBot="1">
      <c r="B8" s="161" t="s">
        <v>112</v>
      </c>
      <c r="C8" s="162"/>
      <c r="D8" s="162"/>
      <c r="E8" s="162"/>
      <c r="F8" s="93">
        <v>1290000</v>
      </c>
    </row>
    <row r="9" spans="1:7" ht="16" thickBot="1">
      <c r="B9" s="163"/>
    </row>
    <row r="10" spans="1:7" ht="16.5" customHeight="1" thickBot="1">
      <c r="B10" s="164" t="s">
        <v>113</v>
      </c>
      <c r="C10" s="105"/>
      <c r="D10" s="105"/>
      <c r="E10" s="106"/>
      <c r="F10" s="165">
        <f>SUM(F8,-F11)</f>
        <v>990000</v>
      </c>
    </row>
    <row r="11" spans="1:7" ht="16.5" customHeight="1" thickBot="1">
      <c r="A11" s="99"/>
      <c r="B11" s="164" t="s">
        <v>114</v>
      </c>
      <c r="C11" s="166"/>
      <c r="D11" s="166"/>
      <c r="E11" s="166"/>
      <c r="F11" s="165">
        <v>300000</v>
      </c>
    </row>
    <row r="12" spans="1:7" ht="16.5" customHeight="1">
      <c r="A12" s="99"/>
      <c r="B12" s="99"/>
      <c r="C12" s="99"/>
      <c r="D12" s="100"/>
    </row>
    <row r="13" spans="1:7" s="11" customFormat="1" ht="16.5" customHeight="1" thickBot="1">
      <c r="A13" s="9"/>
      <c r="B13" s="10"/>
      <c r="C13" s="10"/>
      <c r="E13" s="12"/>
      <c r="F13" s="13"/>
      <c r="G13" s="95"/>
    </row>
    <row r="14" spans="1:7" s="9" customFormat="1" ht="65.25" customHeight="1" thickBot="1">
      <c r="B14" s="171" t="s">
        <v>120</v>
      </c>
      <c r="C14" s="170" t="s">
        <v>68</v>
      </c>
      <c r="D14" s="261" t="s">
        <v>115</v>
      </c>
      <c r="E14" s="262"/>
      <c r="F14" s="263"/>
      <c r="G14" s="96"/>
    </row>
    <row r="15" spans="1:7" s="20" customFormat="1" ht="17" thickBot="1">
      <c r="B15" s="107"/>
      <c r="C15" s="170"/>
      <c r="D15" s="17">
        <v>0.5</v>
      </c>
      <c r="E15" s="18">
        <f>1-D15</f>
        <v>0.5</v>
      </c>
      <c r="F15" s="108"/>
      <c r="G15" s="97"/>
    </row>
    <row r="16" spans="1:7" s="20" customFormat="1" ht="17" thickBot="1">
      <c r="A16" s="112" t="s">
        <v>66</v>
      </c>
      <c r="B16" s="107">
        <v>2015</v>
      </c>
      <c r="C16" s="170"/>
      <c r="D16" s="17" t="s">
        <v>4</v>
      </c>
      <c r="E16" s="18" t="s">
        <v>5</v>
      </c>
      <c r="F16" s="108" t="s">
        <v>6</v>
      </c>
      <c r="G16" s="113" t="s">
        <v>67</v>
      </c>
    </row>
    <row r="17" spans="1:7" ht="16">
      <c r="A17" s="135" t="s">
        <v>7</v>
      </c>
      <c r="B17" s="154">
        <v>30</v>
      </c>
      <c r="C17" s="118">
        <v>1</v>
      </c>
      <c r="D17" s="111">
        <f t="shared" ref="D17:D56" si="0">$F$10*$D$15/$C$58*C17</f>
        <v>13378.378378378378</v>
      </c>
      <c r="E17" s="31">
        <f t="shared" ref="E17:E56" si="1">$F$10*$E$15*B17/$B$58</f>
        <v>8300.7266629401893</v>
      </c>
      <c r="F17" s="102">
        <f t="shared" ref="F17:F56" si="2">(D17+E17)</f>
        <v>21679.105041318566</v>
      </c>
      <c r="G17" s="121">
        <f>F17/$F$58</f>
        <v>2.1898085900321777E-2</v>
      </c>
    </row>
    <row r="18" spans="1:7" ht="16.5" customHeight="1">
      <c r="A18" s="134" t="s">
        <v>11</v>
      </c>
      <c r="B18" s="155">
        <v>89</v>
      </c>
      <c r="C18" s="116">
        <v>1</v>
      </c>
      <c r="D18" s="111">
        <f t="shared" si="0"/>
        <v>13378.378378378378</v>
      </c>
      <c r="E18" s="31">
        <f t="shared" si="1"/>
        <v>24625.489100055896</v>
      </c>
      <c r="F18" s="102">
        <f t="shared" si="2"/>
        <v>38003.867478434273</v>
      </c>
      <c r="G18" s="121">
        <f>F18/$F$58</f>
        <v>3.8387744927711374E-2</v>
      </c>
    </row>
    <row r="19" spans="1:7" ht="16">
      <c r="A19" s="136" t="s">
        <v>12</v>
      </c>
      <c r="B19" s="155">
        <v>70</v>
      </c>
      <c r="C19" s="116">
        <v>1</v>
      </c>
      <c r="D19" s="111">
        <f t="shared" si="0"/>
        <v>13378.378378378378</v>
      </c>
      <c r="E19" s="31">
        <f t="shared" si="1"/>
        <v>19368.362213527111</v>
      </c>
      <c r="F19" s="102">
        <f t="shared" si="2"/>
        <v>32746.740591905487</v>
      </c>
      <c r="G19" s="121">
        <f>F19/$F$58</f>
        <v>3.3077515749399468E-2</v>
      </c>
    </row>
    <row r="20" spans="1:7" ht="16">
      <c r="A20" s="136" t="s">
        <v>57</v>
      </c>
      <c r="B20" s="155">
        <v>153</v>
      </c>
      <c r="C20" s="116">
        <v>1</v>
      </c>
      <c r="D20" s="111">
        <f t="shared" si="0"/>
        <v>13378.378378378378</v>
      </c>
      <c r="E20" s="31">
        <f t="shared" si="1"/>
        <v>42333.705980994971</v>
      </c>
      <c r="F20" s="102">
        <f t="shared" si="2"/>
        <v>55712.084359373352</v>
      </c>
      <c r="G20" s="121">
        <f>F20/$F$58</f>
        <v>5.627483268623569E-2</v>
      </c>
    </row>
    <row r="21" spans="1:7" ht="16">
      <c r="A21" s="134" t="s">
        <v>8</v>
      </c>
      <c r="B21" s="155">
        <v>83</v>
      </c>
      <c r="C21" s="116">
        <v>1</v>
      </c>
      <c r="D21" s="111">
        <f t="shared" si="0"/>
        <v>13378.378378378378</v>
      </c>
      <c r="E21" s="31">
        <f>$F$10*$E$15*B21/$B$58</f>
        <v>22965.343767467861</v>
      </c>
      <c r="F21" s="102">
        <f t="shared" si="2"/>
        <v>36343.722145846237</v>
      </c>
      <c r="G21" s="121">
        <f>F21/$F$58</f>
        <v>3.6710830450349723E-2</v>
      </c>
    </row>
    <row r="22" spans="1:7" ht="16.5" customHeight="1">
      <c r="A22" s="134" t="s">
        <v>69</v>
      </c>
      <c r="B22" s="155">
        <v>91</v>
      </c>
      <c r="C22" s="116">
        <v>1</v>
      </c>
      <c r="D22" s="111">
        <f t="shared" si="0"/>
        <v>13378.378378378378</v>
      </c>
      <c r="E22" s="31">
        <f t="shared" si="1"/>
        <v>25178.870877585243</v>
      </c>
      <c r="F22" s="102">
        <f t="shared" si="2"/>
        <v>38557.249255963623</v>
      </c>
      <c r="G22" s="121">
        <f t="shared" ref="G22:G56" si="3">F22/$F$58</f>
        <v>3.8946716420165263E-2</v>
      </c>
    </row>
    <row r="23" spans="1:7" ht="16.5" customHeight="1">
      <c r="A23" s="134" t="s">
        <v>13</v>
      </c>
      <c r="B23" s="155">
        <v>69</v>
      </c>
      <c r="C23" s="116">
        <v>1</v>
      </c>
      <c r="D23" s="111">
        <f t="shared" si="0"/>
        <v>13378.378378378378</v>
      </c>
      <c r="E23" s="31">
        <f t="shared" si="1"/>
        <v>19091.671324762436</v>
      </c>
      <c r="F23" s="102">
        <f t="shared" si="2"/>
        <v>32470.049703140816</v>
      </c>
      <c r="G23" s="121">
        <f t="shared" si="3"/>
        <v>3.2798030003172531E-2</v>
      </c>
    </row>
    <row r="24" spans="1:7" ht="16">
      <c r="A24" s="134" t="s">
        <v>60</v>
      </c>
      <c r="B24" s="155">
        <v>50</v>
      </c>
      <c r="C24" s="116">
        <v>1</v>
      </c>
      <c r="D24" s="111">
        <f t="shared" si="0"/>
        <v>13378.378378378378</v>
      </c>
      <c r="E24" s="31">
        <f t="shared" si="1"/>
        <v>13834.54443823365</v>
      </c>
      <c r="F24" s="102">
        <f t="shared" si="2"/>
        <v>27212.92281661203</v>
      </c>
      <c r="G24" s="121">
        <f t="shared" si="3"/>
        <v>2.7487800824860627E-2</v>
      </c>
    </row>
    <row r="25" spans="1:7" ht="16">
      <c r="A25" s="136" t="s">
        <v>10</v>
      </c>
      <c r="B25" s="155">
        <v>47</v>
      </c>
      <c r="C25" s="116">
        <v>1</v>
      </c>
      <c r="D25" s="111">
        <f t="shared" si="0"/>
        <v>13378.378378378378</v>
      </c>
      <c r="E25" s="31">
        <f t="shared" si="1"/>
        <v>13004.47177193963</v>
      </c>
      <c r="F25" s="102">
        <f t="shared" si="2"/>
        <v>26382.850150318009</v>
      </c>
      <c r="G25" s="121">
        <f t="shared" si="3"/>
        <v>2.6649343586179798E-2</v>
      </c>
    </row>
    <row r="26" spans="1:7" ht="16">
      <c r="A26" s="134" t="s">
        <v>21</v>
      </c>
      <c r="B26" s="155">
        <v>32</v>
      </c>
      <c r="C26" s="116">
        <v>1</v>
      </c>
      <c r="D26" s="111">
        <f t="shared" si="0"/>
        <v>13378.378378378378</v>
      </c>
      <c r="E26" s="31">
        <f t="shared" si="1"/>
        <v>8854.1084404695357</v>
      </c>
      <c r="F26" s="102">
        <f t="shared" si="2"/>
        <v>22232.486818847916</v>
      </c>
      <c r="G26" s="121">
        <f t="shared" si="3"/>
        <v>2.2457057392775665E-2</v>
      </c>
    </row>
    <row r="27" spans="1:7" ht="16">
      <c r="A27" s="134" t="s">
        <v>28</v>
      </c>
      <c r="B27" s="155">
        <v>45</v>
      </c>
      <c r="C27" s="116">
        <v>1</v>
      </c>
      <c r="D27" s="111">
        <f t="shared" si="0"/>
        <v>13378.378378378378</v>
      </c>
      <c r="E27" s="31">
        <f t="shared" si="1"/>
        <v>12451.089994410286</v>
      </c>
      <c r="F27" s="102">
        <f t="shared" si="2"/>
        <v>25829.468372788666</v>
      </c>
      <c r="G27" s="121">
        <f t="shared" si="3"/>
        <v>2.6090372093725916E-2</v>
      </c>
    </row>
    <row r="28" spans="1:7" ht="16">
      <c r="A28" s="136" t="s">
        <v>61</v>
      </c>
      <c r="B28" s="155">
        <v>45</v>
      </c>
      <c r="C28" s="116">
        <v>1</v>
      </c>
      <c r="D28" s="111">
        <f t="shared" si="0"/>
        <v>13378.378378378378</v>
      </c>
      <c r="E28" s="31">
        <f t="shared" si="1"/>
        <v>12451.089994410286</v>
      </c>
      <c r="F28" s="102">
        <f t="shared" si="2"/>
        <v>25829.468372788666</v>
      </c>
      <c r="G28" s="121">
        <f t="shared" si="3"/>
        <v>2.6090372093725916E-2</v>
      </c>
    </row>
    <row r="29" spans="1:7" ht="16">
      <c r="A29" s="136" t="s">
        <v>24</v>
      </c>
      <c r="B29" s="155">
        <v>55</v>
      </c>
      <c r="C29" s="116">
        <v>1</v>
      </c>
      <c r="D29" s="111">
        <f t="shared" si="0"/>
        <v>13378.378378378378</v>
      </c>
      <c r="E29" s="31">
        <f t="shared" si="1"/>
        <v>15217.998882057014</v>
      </c>
      <c r="F29" s="102">
        <f t="shared" si="2"/>
        <v>28596.377260435394</v>
      </c>
      <c r="G29" s="121">
        <f t="shared" si="3"/>
        <v>2.8885229555995338E-2</v>
      </c>
    </row>
    <row r="30" spans="1:7" ht="16">
      <c r="A30" s="134" t="s">
        <v>20</v>
      </c>
      <c r="B30" s="155">
        <v>44</v>
      </c>
      <c r="C30" s="116">
        <v>1</v>
      </c>
      <c r="D30" s="111">
        <f t="shared" si="0"/>
        <v>13378.378378378378</v>
      </c>
      <c r="E30" s="31">
        <f t="shared" si="1"/>
        <v>12174.399105645613</v>
      </c>
      <c r="F30" s="102">
        <f t="shared" si="2"/>
        <v>25552.777484023991</v>
      </c>
      <c r="G30" s="121">
        <f t="shared" si="3"/>
        <v>2.5810886347498972E-2</v>
      </c>
    </row>
    <row r="31" spans="1:7" ht="16">
      <c r="A31" s="134" t="s">
        <v>25</v>
      </c>
      <c r="B31" s="155">
        <v>40</v>
      </c>
      <c r="C31" s="116">
        <v>1</v>
      </c>
      <c r="D31" s="111">
        <f t="shared" si="0"/>
        <v>13378.378378378378</v>
      </c>
      <c r="E31" s="31">
        <f t="shared" si="1"/>
        <v>11067.63555058692</v>
      </c>
      <c r="F31" s="102">
        <f t="shared" si="2"/>
        <v>24446.013928965298</v>
      </c>
      <c r="G31" s="121">
        <f t="shared" si="3"/>
        <v>2.4692943362591202E-2</v>
      </c>
    </row>
    <row r="32" spans="1:7" ht="16">
      <c r="A32" s="136" t="s">
        <v>74</v>
      </c>
      <c r="B32" s="155">
        <v>63</v>
      </c>
      <c r="C32" s="116">
        <v>1</v>
      </c>
      <c r="D32" s="111">
        <f t="shared" si="0"/>
        <v>13378.378378378378</v>
      </c>
      <c r="E32" s="31">
        <f t="shared" si="1"/>
        <v>17431.5259921744</v>
      </c>
      <c r="F32" s="102">
        <f t="shared" si="2"/>
        <v>30809.90437055278</v>
      </c>
      <c r="G32" s="121">
        <f t="shared" si="3"/>
        <v>3.1121115525810879E-2</v>
      </c>
    </row>
    <row r="33" spans="1:7" ht="16">
      <c r="A33" s="134" t="s">
        <v>73</v>
      </c>
      <c r="B33" s="155">
        <v>187</v>
      </c>
      <c r="C33" s="116">
        <v>1</v>
      </c>
      <c r="D33" s="111">
        <f t="shared" si="0"/>
        <v>13378.378378378378</v>
      </c>
      <c r="E33" s="31">
        <f t="shared" si="1"/>
        <v>51741.19619899385</v>
      </c>
      <c r="F33" s="102">
        <f t="shared" si="2"/>
        <v>65119.57457737223</v>
      </c>
      <c r="G33" s="121">
        <f t="shared" si="3"/>
        <v>6.5777348057951726E-2</v>
      </c>
    </row>
    <row r="34" spans="1:7" ht="16">
      <c r="A34" s="134" t="s">
        <v>23</v>
      </c>
      <c r="B34" s="155">
        <v>37</v>
      </c>
      <c r="C34" s="116">
        <v>1</v>
      </c>
      <c r="D34" s="111">
        <f t="shared" si="0"/>
        <v>13378.378378378378</v>
      </c>
      <c r="E34" s="31">
        <f t="shared" si="1"/>
        <v>10237.562884292902</v>
      </c>
      <c r="F34" s="102">
        <f t="shared" si="2"/>
        <v>23615.94126267128</v>
      </c>
      <c r="G34" s="121">
        <f t="shared" si="3"/>
        <v>2.3854486123910376E-2</v>
      </c>
    </row>
    <row r="35" spans="1:7" ht="16">
      <c r="A35" s="137" t="s">
        <v>27</v>
      </c>
      <c r="B35" s="155">
        <v>45</v>
      </c>
      <c r="C35" s="116">
        <v>1</v>
      </c>
      <c r="D35" s="111">
        <f t="shared" si="0"/>
        <v>13378.378378378378</v>
      </c>
      <c r="E35" s="31">
        <f t="shared" si="1"/>
        <v>12451.089994410286</v>
      </c>
      <c r="F35" s="102">
        <f t="shared" si="2"/>
        <v>25829.468372788666</v>
      </c>
      <c r="G35" s="121">
        <f t="shared" si="3"/>
        <v>2.6090372093725916E-2</v>
      </c>
    </row>
    <row r="36" spans="1:7" ht="16">
      <c r="A36" s="134" t="s">
        <v>33</v>
      </c>
      <c r="B36" s="155">
        <v>60</v>
      </c>
      <c r="C36" s="116">
        <v>1</v>
      </c>
      <c r="D36" s="111">
        <f t="shared" si="0"/>
        <v>13378.378378378378</v>
      </c>
      <c r="E36" s="31">
        <f t="shared" si="1"/>
        <v>16601.453325880379</v>
      </c>
      <c r="F36" s="103">
        <f t="shared" si="2"/>
        <v>29979.831704258759</v>
      </c>
      <c r="G36" s="121">
        <f t="shared" si="3"/>
        <v>3.0282658287130049E-2</v>
      </c>
    </row>
    <row r="37" spans="1:7" ht="16">
      <c r="A37" s="134" t="s">
        <v>64</v>
      </c>
      <c r="B37" s="155">
        <v>101</v>
      </c>
      <c r="C37" s="116">
        <v>1</v>
      </c>
      <c r="D37" s="111">
        <f t="shared" si="0"/>
        <v>13378.378378378378</v>
      </c>
      <c r="E37" s="31">
        <f t="shared" si="1"/>
        <v>27945.779765231971</v>
      </c>
      <c r="F37" s="102">
        <f t="shared" si="2"/>
        <v>41324.158143610352</v>
      </c>
      <c r="G37" s="121">
        <f t="shared" si="3"/>
        <v>4.1741573882434685E-2</v>
      </c>
    </row>
    <row r="38" spans="1:7" ht="16">
      <c r="A38" s="134" t="s">
        <v>16</v>
      </c>
      <c r="B38" s="155">
        <v>46</v>
      </c>
      <c r="C38" s="116">
        <v>1</v>
      </c>
      <c r="D38" s="111">
        <f t="shared" si="0"/>
        <v>13378.378378378378</v>
      </c>
      <c r="E38" s="31">
        <f t="shared" si="1"/>
        <v>12727.780883174959</v>
      </c>
      <c r="F38" s="102">
        <f t="shared" si="2"/>
        <v>26106.159261553337</v>
      </c>
      <c r="G38" s="121">
        <f t="shared" si="3"/>
        <v>2.6369857839952857E-2</v>
      </c>
    </row>
    <row r="39" spans="1:7" ht="16">
      <c r="A39" s="134" t="s">
        <v>63</v>
      </c>
      <c r="B39" s="155">
        <v>31</v>
      </c>
      <c r="C39" s="116">
        <v>1</v>
      </c>
      <c r="D39" s="111">
        <f t="shared" si="0"/>
        <v>13378.378378378378</v>
      </c>
      <c r="E39" s="31">
        <f t="shared" si="1"/>
        <v>8577.4175517048625</v>
      </c>
      <c r="F39" s="102">
        <f t="shared" si="2"/>
        <v>21955.795930083241</v>
      </c>
      <c r="G39" s="121">
        <f t="shared" si="3"/>
        <v>2.2177571646548721E-2</v>
      </c>
    </row>
    <row r="40" spans="1:7" ht="16">
      <c r="A40" s="134" t="s">
        <v>19</v>
      </c>
      <c r="B40" s="155">
        <v>43</v>
      </c>
      <c r="C40" s="116">
        <v>1</v>
      </c>
      <c r="D40" s="111">
        <f t="shared" si="0"/>
        <v>13378.378378378378</v>
      </c>
      <c r="E40" s="31">
        <f t="shared" si="1"/>
        <v>11897.708216880939</v>
      </c>
      <c r="F40" s="102">
        <f t="shared" si="2"/>
        <v>25276.086595259316</v>
      </c>
      <c r="G40" s="121">
        <f t="shared" si="3"/>
        <v>2.5531400601272028E-2</v>
      </c>
    </row>
    <row r="41" spans="1:7" ht="16">
      <c r="A41" s="134" t="s">
        <v>29</v>
      </c>
      <c r="B41" s="156">
        <v>29</v>
      </c>
      <c r="C41" s="117">
        <v>1</v>
      </c>
      <c r="D41" s="111">
        <f t="shared" si="0"/>
        <v>13378.378378378378</v>
      </c>
      <c r="E41" s="31">
        <f t="shared" si="1"/>
        <v>8024.035774175517</v>
      </c>
      <c r="F41" s="102">
        <f t="shared" si="2"/>
        <v>21402.414152553894</v>
      </c>
      <c r="G41" s="121">
        <f t="shared" si="3"/>
        <v>2.1618600154094836E-2</v>
      </c>
    </row>
    <row r="42" spans="1:7" ht="16">
      <c r="A42" s="138" t="s">
        <v>62</v>
      </c>
      <c r="B42" s="157">
        <v>24</v>
      </c>
      <c r="C42" s="118">
        <v>1</v>
      </c>
      <c r="D42" s="111">
        <f t="shared" si="0"/>
        <v>13378.378378378378</v>
      </c>
      <c r="E42" s="31">
        <f t="shared" si="1"/>
        <v>6640.5813303521518</v>
      </c>
      <c r="F42" s="102">
        <f t="shared" si="2"/>
        <v>20018.95970873053</v>
      </c>
      <c r="G42" s="121">
        <f t="shared" si="3"/>
        <v>2.0221171422960125E-2</v>
      </c>
    </row>
    <row r="43" spans="1:7" ht="16">
      <c r="A43" s="138" t="s">
        <v>32</v>
      </c>
      <c r="B43" s="157">
        <v>32</v>
      </c>
      <c r="C43" s="118">
        <v>1</v>
      </c>
      <c r="D43" s="111">
        <f t="shared" si="0"/>
        <v>13378.378378378378</v>
      </c>
      <c r="E43" s="31">
        <f t="shared" si="1"/>
        <v>8854.1084404695357</v>
      </c>
      <c r="F43" s="104">
        <f t="shared" si="2"/>
        <v>22232.486818847916</v>
      </c>
      <c r="G43" s="121">
        <f t="shared" si="3"/>
        <v>2.2457057392775665E-2</v>
      </c>
    </row>
    <row r="44" spans="1:7" ht="16">
      <c r="A44" s="134" t="s">
        <v>58</v>
      </c>
      <c r="B44" s="156">
        <v>18</v>
      </c>
      <c r="C44" s="117">
        <v>1</v>
      </c>
      <c r="D44" s="111">
        <f t="shared" si="0"/>
        <v>13378.378378378378</v>
      </c>
      <c r="E44" s="31">
        <f t="shared" si="1"/>
        <v>4980.4359977641143</v>
      </c>
      <c r="F44" s="102">
        <f t="shared" si="2"/>
        <v>18358.814376142494</v>
      </c>
      <c r="G44" s="121">
        <f t="shared" si="3"/>
        <v>1.8544256945598473E-2</v>
      </c>
    </row>
    <row r="45" spans="1:7" ht="16">
      <c r="A45" s="134" t="s">
        <v>75</v>
      </c>
      <c r="B45" s="156">
        <v>81</v>
      </c>
      <c r="C45" s="117">
        <v>1</v>
      </c>
      <c r="D45" s="111">
        <f t="shared" si="0"/>
        <v>13378.378378378378</v>
      </c>
      <c r="E45" s="31">
        <f t="shared" si="1"/>
        <v>22411.961989938514</v>
      </c>
      <c r="F45" s="102">
        <f t="shared" si="2"/>
        <v>35790.340368316894</v>
      </c>
      <c r="G45" s="121">
        <f t="shared" si="3"/>
        <v>3.6151858957895841E-2</v>
      </c>
    </row>
    <row r="46" spans="1:7" ht="16">
      <c r="A46" s="138" t="s">
        <v>76</v>
      </c>
      <c r="B46" s="158">
        <v>3</v>
      </c>
      <c r="C46" s="115">
        <v>1</v>
      </c>
      <c r="D46" s="111">
        <f t="shared" si="0"/>
        <v>13378.378378378378</v>
      </c>
      <c r="E46" s="31">
        <f t="shared" si="1"/>
        <v>830.07266629401897</v>
      </c>
      <c r="F46" s="102">
        <f t="shared" si="2"/>
        <v>14208.451044672398</v>
      </c>
      <c r="G46" s="121">
        <f t="shared" si="3"/>
        <v>1.4351970752194337E-2</v>
      </c>
    </row>
    <row r="47" spans="1:7" ht="16">
      <c r="A47" s="134" t="s">
        <v>77</v>
      </c>
      <c r="B47" s="172">
        <v>0</v>
      </c>
      <c r="C47" s="173">
        <v>0</v>
      </c>
      <c r="D47" s="111">
        <f t="shared" si="0"/>
        <v>0</v>
      </c>
      <c r="E47" s="31">
        <f t="shared" si="1"/>
        <v>0</v>
      </c>
      <c r="F47" s="102">
        <f t="shared" si="2"/>
        <v>0</v>
      </c>
      <c r="G47" s="121">
        <f t="shared" si="3"/>
        <v>0</v>
      </c>
    </row>
    <row r="48" spans="1:7" ht="16">
      <c r="A48" s="138" t="s">
        <v>65</v>
      </c>
      <c r="B48" s="158">
        <v>15</v>
      </c>
      <c r="C48" s="115">
        <v>1</v>
      </c>
      <c r="D48" s="111">
        <f t="shared" si="0"/>
        <v>13378.378378378378</v>
      </c>
      <c r="E48" s="31">
        <f t="shared" si="1"/>
        <v>4150.3633314700946</v>
      </c>
      <c r="F48" s="102">
        <f t="shared" si="2"/>
        <v>17528.741709848473</v>
      </c>
      <c r="G48" s="121">
        <f t="shared" si="3"/>
        <v>1.7705799706917644E-2</v>
      </c>
    </row>
    <row r="49" spans="1:7" ht="16">
      <c r="A49" s="139" t="s">
        <v>53</v>
      </c>
      <c r="B49" s="158">
        <v>14</v>
      </c>
      <c r="C49" s="115">
        <v>1</v>
      </c>
      <c r="D49" s="111">
        <f t="shared" si="0"/>
        <v>13378.378378378378</v>
      </c>
      <c r="E49" s="31">
        <f t="shared" si="1"/>
        <v>3873.6724427054219</v>
      </c>
      <c r="F49" s="102">
        <f t="shared" si="2"/>
        <v>17252.050821083802</v>
      </c>
      <c r="G49" s="121">
        <f t="shared" si="3"/>
        <v>1.7426313960690703E-2</v>
      </c>
    </row>
    <row r="50" spans="1:7" ht="16">
      <c r="A50" s="138" t="s">
        <v>56</v>
      </c>
      <c r="B50" s="158">
        <v>4</v>
      </c>
      <c r="C50" s="115">
        <v>1</v>
      </c>
      <c r="D50" s="111">
        <f t="shared" si="0"/>
        <v>13378.378378378378</v>
      </c>
      <c r="E50" s="31">
        <f t="shared" si="1"/>
        <v>1106.763555058692</v>
      </c>
      <c r="F50" s="102">
        <f t="shared" si="2"/>
        <v>14485.141933437069</v>
      </c>
      <c r="G50" s="121">
        <f t="shared" si="3"/>
        <v>1.4631456498421277E-2</v>
      </c>
    </row>
    <row r="51" spans="1:7" ht="16">
      <c r="A51" s="134" t="s">
        <v>59</v>
      </c>
      <c r="B51" s="172">
        <v>0</v>
      </c>
      <c r="C51" s="174">
        <v>0</v>
      </c>
      <c r="D51" s="111">
        <f t="shared" si="0"/>
        <v>0</v>
      </c>
      <c r="E51" s="31">
        <f t="shared" si="1"/>
        <v>0</v>
      </c>
      <c r="F51" s="102">
        <f t="shared" si="2"/>
        <v>0</v>
      </c>
      <c r="G51" s="121">
        <f t="shared" si="3"/>
        <v>0</v>
      </c>
    </row>
    <row r="52" spans="1:7" ht="16">
      <c r="A52" s="138" t="s">
        <v>140</v>
      </c>
      <c r="B52" s="158">
        <v>2</v>
      </c>
      <c r="C52" s="118">
        <v>1</v>
      </c>
      <c r="D52" s="111">
        <f t="shared" si="0"/>
        <v>13378.378378378378</v>
      </c>
      <c r="E52" s="31">
        <f t="shared" si="1"/>
        <v>553.38177752934598</v>
      </c>
      <c r="F52" s="102">
        <f t="shared" si="2"/>
        <v>13931.760155907725</v>
      </c>
      <c r="G52" s="121">
        <f t="shared" si="3"/>
        <v>1.4072485005967394E-2</v>
      </c>
    </row>
    <row r="53" spans="1:7" ht="16">
      <c r="A53" s="124" t="s">
        <v>35</v>
      </c>
      <c r="B53" s="158">
        <v>3</v>
      </c>
      <c r="C53" s="117">
        <v>1</v>
      </c>
      <c r="D53" s="111">
        <f t="shared" si="0"/>
        <v>13378.378378378378</v>
      </c>
      <c r="E53" s="31">
        <f t="shared" si="1"/>
        <v>830.07266629401897</v>
      </c>
      <c r="F53" s="102">
        <f t="shared" si="2"/>
        <v>14208.451044672398</v>
      </c>
      <c r="G53" s="121">
        <f t="shared" si="3"/>
        <v>1.4351970752194337E-2</v>
      </c>
    </row>
    <row r="54" spans="1:7" ht="16">
      <c r="A54" s="134" t="s">
        <v>78</v>
      </c>
      <c r="B54" s="155">
        <v>7</v>
      </c>
      <c r="C54" s="117">
        <v>1</v>
      </c>
      <c r="D54" s="111">
        <f t="shared" si="0"/>
        <v>13378.378378378378</v>
      </c>
      <c r="E54" s="31">
        <f t="shared" si="1"/>
        <v>1936.8362213527109</v>
      </c>
      <c r="F54" s="102">
        <f t="shared" si="2"/>
        <v>15315.214599731089</v>
      </c>
      <c r="G54" s="121">
        <f t="shared" si="3"/>
        <v>1.5469913737102105E-2</v>
      </c>
    </row>
    <row r="55" spans="1:7" ht="16">
      <c r="A55" s="134" t="s">
        <v>116</v>
      </c>
      <c r="B55" s="175">
        <v>0</v>
      </c>
      <c r="C55" s="176">
        <v>0</v>
      </c>
      <c r="D55" s="111">
        <f t="shared" si="0"/>
        <v>0</v>
      </c>
      <c r="E55" s="31">
        <f t="shared" si="1"/>
        <v>0</v>
      </c>
      <c r="F55" s="102">
        <f t="shared" si="2"/>
        <v>0</v>
      </c>
      <c r="G55" s="121">
        <f t="shared" si="3"/>
        <v>0</v>
      </c>
    </row>
    <row r="56" spans="1:7" ht="16">
      <c r="A56" s="134" t="s">
        <v>117</v>
      </c>
      <c r="B56" s="155">
        <v>1</v>
      </c>
      <c r="C56" s="117">
        <v>1</v>
      </c>
      <c r="D56" s="111">
        <f t="shared" si="0"/>
        <v>13378.378378378378</v>
      </c>
      <c r="E56" s="31">
        <f t="shared" si="1"/>
        <v>276.69088876467299</v>
      </c>
      <c r="F56" s="102">
        <f t="shared" si="2"/>
        <v>13655.069267143052</v>
      </c>
      <c r="G56" s="121">
        <f t="shared" si="3"/>
        <v>1.3792999259740452E-2</v>
      </c>
    </row>
    <row r="57" spans="1:7" ht="17" thickBot="1">
      <c r="A57" s="61"/>
      <c r="B57" s="127"/>
      <c r="C57" s="60"/>
      <c r="D57" s="57"/>
      <c r="E57" s="57"/>
      <c r="F57" s="91"/>
    </row>
    <row r="58" spans="1:7" ht="17" thickBot="1">
      <c r="A58" s="54" t="s">
        <v>36</v>
      </c>
      <c r="B58" s="128">
        <f>SUM(B17:B56)</f>
        <v>1789</v>
      </c>
      <c r="C58" s="119">
        <f>SUM(C17:C56)</f>
        <v>37</v>
      </c>
      <c r="D58" s="31">
        <f>SUM(D17:D56)</f>
        <v>495000.00000000035</v>
      </c>
      <c r="E58" s="31">
        <f>SUM(E17:E56)</f>
        <v>495000</v>
      </c>
      <c r="F58" s="120">
        <f>SUM(F17:F56)</f>
        <v>990000.00000000035</v>
      </c>
      <c r="G58" s="98">
        <f t="shared" ref="G58" si="4">SUM(G17:G54)</f>
        <v>0.98620700074025902</v>
      </c>
    </row>
    <row r="59" spans="1:7" ht="16">
      <c r="A59" s="153" t="s">
        <v>118</v>
      </c>
      <c r="B59" s="60"/>
      <c r="C59" s="60"/>
      <c r="D59" s="31">
        <f>F10*D15</f>
        <v>495000</v>
      </c>
      <c r="E59" s="31">
        <f>F10*E15</f>
        <v>495000</v>
      </c>
      <c r="F59" s="31"/>
      <c r="G59"/>
    </row>
    <row r="60" spans="1:7" ht="16">
      <c r="A60" s="61"/>
      <c r="B60" s="92"/>
      <c r="C60" s="92"/>
      <c r="D60" s="63"/>
      <c r="E60" s="109">
        <f>E58+D58</f>
        <v>990000.00000000035</v>
      </c>
      <c r="F60" s="63"/>
      <c r="G60"/>
    </row>
    <row r="61" spans="1:7" ht="13.5" customHeight="1">
      <c r="D61" s="65"/>
      <c r="E61" s="65"/>
      <c r="F61" s="65"/>
      <c r="G61"/>
    </row>
    <row r="62" spans="1:7">
      <c r="A62" s="5" t="s">
        <v>119</v>
      </c>
      <c r="D62" s="68"/>
      <c r="E62" s="68"/>
      <c r="F62" s="68"/>
      <c r="G62"/>
    </row>
  </sheetData>
  <autoFilter ref="A16:G16" xr:uid="{00000000-0009-0000-0000-000009000000}">
    <sortState ref="A17:G53">
      <sortCondition descending="1" ref="F16"/>
    </sortState>
  </autoFilter>
  <mergeCells count="3">
    <mergeCell ref="A1:F3"/>
    <mergeCell ref="B7:F7"/>
    <mergeCell ref="D14:F14"/>
  </mergeCells>
  <pageMargins left="0.7" right="0.7" top="0.78740157499999996" bottom="0.78740157499999996" header="0.3" footer="0.3"/>
  <pageSetup paperSize="9" scale="60" orientation="portrait" horizontalDpi="300" verticalDpi="300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62"/>
  <sheetViews>
    <sheetView topLeftCell="A19" zoomScale="80" zoomScaleNormal="80" workbookViewId="0">
      <selection activeCell="A52" sqref="A52"/>
    </sheetView>
  </sheetViews>
  <sheetFormatPr baseColWidth="10" defaultColWidth="8.83203125" defaultRowHeight="15"/>
  <cols>
    <col min="1" max="1" width="45.5" customWidth="1"/>
    <col min="2" max="2" width="21.6640625" style="2" customWidth="1"/>
    <col min="3" max="3" width="10.33203125" style="2" customWidth="1"/>
    <col min="4" max="4" width="15" customWidth="1"/>
    <col min="5" max="5" width="18.83203125" customWidth="1"/>
    <col min="6" max="6" width="13.83203125" bestFit="1" customWidth="1"/>
    <col min="7" max="7" width="8.5" style="94" bestFit="1" customWidth="1"/>
    <col min="8" max="8" width="10.33203125" customWidth="1"/>
  </cols>
  <sheetData>
    <row r="1" spans="1:7" ht="18.75" customHeight="1">
      <c r="A1" s="266" t="s">
        <v>126</v>
      </c>
      <c r="B1" s="266"/>
      <c r="C1" s="266"/>
      <c r="D1" s="266"/>
      <c r="E1" s="266"/>
      <c r="F1" s="266"/>
    </row>
    <row r="2" spans="1:7" ht="18.75" customHeight="1">
      <c r="A2" s="266"/>
      <c r="B2" s="266"/>
      <c r="C2" s="266"/>
      <c r="D2" s="266"/>
      <c r="E2" s="266"/>
      <c r="F2" s="266"/>
    </row>
    <row r="3" spans="1:7" ht="18.75" customHeight="1">
      <c r="A3" s="266"/>
      <c r="B3" s="266"/>
      <c r="C3" s="266"/>
      <c r="D3" s="266"/>
      <c r="E3" s="266"/>
      <c r="F3" s="266"/>
    </row>
    <row r="4" spans="1:7" ht="16">
      <c r="A4" s="3" t="s">
        <v>121</v>
      </c>
    </row>
    <row r="5" spans="1:7" ht="16">
      <c r="A5" s="4" t="s">
        <v>71</v>
      </c>
    </row>
    <row r="6" spans="1:7" ht="16.5" customHeight="1" thickBot="1">
      <c r="A6" s="5"/>
    </row>
    <row r="7" spans="1:7" ht="17" thickBot="1">
      <c r="B7" s="267" t="s">
        <v>54</v>
      </c>
      <c r="C7" s="268"/>
      <c r="D7" s="268"/>
      <c r="E7" s="268"/>
      <c r="F7" s="269"/>
    </row>
    <row r="8" spans="1:7" ht="17" thickBot="1">
      <c r="B8" s="161" t="s">
        <v>122</v>
      </c>
      <c r="C8" s="162"/>
      <c r="D8" s="162"/>
      <c r="E8" s="162"/>
      <c r="F8" s="93">
        <v>1392000</v>
      </c>
    </row>
    <row r="9" spans="1:7" ht="16" thickBot="1">
      <c r="B9" s="163"/>
    </row>
    <row r="10" spans="1:7" ht="16.5" customHeight="1" thickBot="1">
      <c r="B10" s="164" t="s">
        <v>123</v>
      </c>
      <c r="C10" s="105"/>
      <c r="D10" s="105"/>
      <c r="E10" s="106"/>
      <c r="F10" s="165">
        <f>SUM(F8,-F11)</f>
        <v>1392000</v>
      </c>
    </row>
    <row r="11" spans="1:7" ht="16.5" customHeight="1" thickBot="1">
      <c r="A11" s="99"/>
      <c r="B11" s="164" t="s">
        <v>114</v>
      </c>
      <c r="C11" s="166"/>
      <c r="D11" s="166"/>
      <c r="E11" s="166"/>
      <c r="F11" s="165"/>
    </row>
    <row r="12" spans="1:7" ht="16.5" customHeight="1">
      <c r="A12" s="99"/>
      <c r="B12" s="99"/>
      <c r="C12" s="99"/>
      <c r="D12" s="100"/>
    </row>
    <row r="13" spans="1:7" s="11" customFormat="1" ht="16.5" customHeight="1" thickBot="1">
      <c r="A13" s="9"/>
      <c r="B13" s="10"/>
      <c r="C13" s="10"/>
      <c r="E13" s="12"/>
      <c r="F13" s="13"/>
      <c r="G13" s="95"/>
    </row>
    <row r="14" spans="1:7" s="9" customFormat="1" ht="65.25" customHeight="1" thickBot="1">
      <c r="B14" s="179" t="s">
        <v>120</v>
      </c>
      <c r="C14" s="179" t="s">
        <v>68</v>
      </c>
      <c r="D14" s="261" t="s">
        <v>124</v>
      </c>
      <c r="E14" s="262"/>
      <c r="F14" s="263"/>
      <c r="G14" s="96"/>
    </row>
    <row r="15" spans="1:7" s="20" customFormat="1" ht="17" thickBot="1">
      <c r="B15" s="107"/>
      <c r="C15" s="179"/>
      <c r="D15" s="17">
        <v>0.5</v>
      </c>
      <c r="E15" s="18">
        <f>1-D15</f>
        <v>0.5</v>
      </c>
      <c r="F15" s="108"/>
      <c r="G15" s="97"/>
    </row>
    <row r="16" spans="1:7" s="20" customFormat="1" ht="17" thickBot="1">
      <c r="A16" s="112" t="s">
        <v>66</v>
      </c>
      <c r="B16" s="107">
        <v>2015</v>
      </c>
      <c r="C16" s="179"/>
      <c r="D16" s="17" t="s">
        <v>4</v>
      </c>
      <c r="E16" s="18" t="s">
        <v>5</v>
      </c>
      <c r="F16" s="108" t="s">
        <v>6</v>
      </c>
      <c r="G16" s="113" t="s">
        <v>67</v>
      </c>
    </row>
    <row r="17" spans="1:7" ht="16">
      <c r="A17" s="135" t="s">
        <v>7</v>
      </c>
      <c r="B17" s="154">
        <v>30</v>
      </c>
      <c r="C17" s="118">
        <v>1</v>
      </c>
      <c r="D17" s="111">
        <f t="shared" ref="D17:D56" si="0">$F$10*$D$15/$C$58*C17</f>
        <v>18810.81081081081</v>
      </c>
      <c r="E17" s="31">
        <f t="shared" ref="E17:E56" si="1">$F$10*$E$15*B17/$B$58</f>
        <v>11671.324762437116</v>
      </c>
      <c r="F17" s="102">
        <f t="shared" ref="F17:F56" si="2">(D17+E17)</f>
        <v>30482.135573247928</v>
      </c>
      <c r="G17" s="121">
        <f>F17/$F$58</f>
        <v>2.1898085900321784E-2</v>
      </c>
    </row>
    <row r="18" spans="1:7" ht="16.5" customHeight="1">
      <c r="A18" s="134" t="s">
        <v>11</v>
      </c>
      <c r="B18" s="155">
        <v>89</v>
      </c>
      <c r="C18" s="116">
        <v>1</v>
      </c>
      <c r="D18" s="111">
        <f t="shared" si="0"/>
        <v>18810.81081081081</v>
      </c>
      <c r="E18" s="31">
        <f t="shared" si="1"/>
        <v>34624.930128563443</v>
      </c>
      <c r="F18" s="102">
        <f t="shared" si="2"/>
        <v>53435.740939374256</v>
      </c>
      <c r="G18" s="121">
        <f>F18/$F$58</f>
        <v>3.8387744927711381E-2</v>
      </c>
    </row>
    <row r="19" spans="1:7" ht="16">
      <c r="A19" s="136" t="s">
        <v>12</v>
      </c>
      <c r="B19" s="155">
        <v>70</v>
      </c>
      <c r="C19" s="116">
        <v>1</v>
      </c>
      <c r="D19" s="111">
        <f t="shared" si="0"/>
        <v>18810.81081081081</v>
      </c>
      <c r="E19" s="31">
        <f t="shared" si="1"/>
        <v>27233.091112353271</v>
      </c>
      <c r="F19" s="102">
        <f t="shared" si="2"/>
        <v>46043.901923164085</v>
      </c>
      <c r="G19" s="121">
        <f>F19/$F$58</f>
        <v>3.3077515749399482E-2</v>
      </c>
    </row>
    <row r="20" spans="1:7" ht="16">
      <c r="A20" s="136" t="s">
        <v>57</v>
      </c>
      <c r="B20" s="155">
        <v>153</v>
      </c>
      <c r="C20" s="116">
        <v>1</v>
      </c>
      <c r="D20" s="111">
        <f t="shared" si="0"/>
        <v>18810.81081081081</v>
      </c>
      <c r="E20" s="31">
        <f t="shared" si="1"/>
        <v>59523.756288429293</v>
      </c>
      <c r="F20" s="102">
        <f t="shared" si="2"/>
        <v>78334.567099240099</v>
      </c>
      <c r="G20" s="121">
        <f>F20/$F$58</f>
        <v>5.6274832686235697E-2</v>
      </c>
    </row>
    <row r="21" spans="1:7" ht="16">
      <c r="A21" s="134" t="s">
        <v>8</v>
      </c>
      <c r="B21" s="155">
        <v>83</v>
      </c>
      <c r="C21" s="116">
        <v>1</v>
      </c>
      <c r="D21" s="111">
        <f t="shared" si="0"/>
        <v>18810.81081081081</v>
      </c>
      <c r="E21" s="31">
        <f>$F$10*$E$15*B21/$B$58</f>
        <v>32290.665176076021</v>
      </c>
      <c r="F21" s="102">
        <f t="shared" si="2"/>
        <v>51101.475986886828</v>
      </c>
      <c r="G21" s="121">
        <f>F21/$F$58</f>
        <v>3.671083045034973E-2</v>
      </c>
    </row>
    <row r="22" spans="1:7" ht="16.5" customHeight="1">
      <c r="A22" s="134" t="s">
        <v>69</v>
      </c>
      <c r="B22" s="155">
        <v>91</v>
      </c>
      <c r="C22" s="116">
        <v>1</v>
      </c>
      <c r="D22" s="111">
        <f t="shared" si="0"/>
        <v>18810.81081081081</v>
      </c>
      <c r="E22" s="31">
        <f t="shared" si="1"/>
        <v>35403.01844605925</v>
      </c>
      <c r="F22" s="102">
        <f t="shared" si="2"/>
        <v>54213.829256870056</v>
      </c>
      <c r="G22" s="121">
        <f t="shared" ref="G22:G56" si="3">F22/$F$58</f>
        <v>3.8946716420165263E-2</v>
      </c>
    </row>
    <row r="23" spans="1:7" ht="16.5" customHeight="1">
      <c r="A23" s="134" t="s">
        <v>13</v>
      </c>
      <c r="B23" s="155">
        <v>69</v>
      </c>
      <c r="C23" s="116">
        <v>1</v>
      </c>
      <c r="D23" s="111">
        <f t="shared" si="0"/>
        <v>18810.81081081081</v>
      </c>
      <c r="E23" s="31">
        <f t="shared" si="1"/>
        <v>26844.046953605368</v>
      </c>
      <c r="F23" s="102">
        <f t="shared" si="2"/>
        <v>45654.857764416178</v>
      </c>
      <c r="G23" s="121">
        <f t="shared" si="3"/>
        <v>3.2798030003172537E-2</v>
      </c>
    </row>
    <row r="24" spans="1:7" ht="16">
      <c r="A24" s="134" t="s">
        <v>60</v>
      </c>
      <c r="B24" s="155">
        <v>50</v>
      </c>
      <c r="C24" s="116">
        <v>1</v>
      </c>
      <c r="D24" s="111">
        <f t="shared" si="0"/>
        <v>18810.81081081081</v>
      </c>
      <c r="E24" s="31">
        <f t="shared" si="1"/>
        <v>19452.207937395193</v>
      </c>
      <c r="F24" s="102">
        <f t="shared" si="2"/>
        <v>38263.018748205999</v>
      </c>
      <c r="G24" s="121">
        <f t="shared" si="3"/>
        <v>2.7487800824860627E-2</v>
      </c>
    </row>
    <row r="25" spans="1:7" ht="16">
      <c r="A25" s="136" t="s">
        <v>10</v>
      </c>
      <c r="B25" s="155">
        <v>47</v>
      </c>
      <c r="C25" s="116">
        <v>1</v>
      </c>
      <c r="D25" s="111">
        <f t="shared" si="0"/>
        <v>18810.81081081081</v>
      </c>
      <c r="E25" s="31">
        <f t="shared" si="1"/>
        <v>18285.075461151482</v>
      </c>
      <c r="F25" s="102">
        <f t="shared" si="2"/>
        <v>37095.886271962292</v>
      </c>
      <c r="G25" s="121">
        <f t="shared" si="3"/>
        <v>2.6649343586179802E-2</v>
      </c>
    </row>
    <row r="26" spans="1:7" ht="16">
      <c r="A26" s="134" t="s">
        <v>21</v>
      </c>
      <c r="B26" s="155">
        <v>32</v>
      </c>
      <c r="C26" s="116">
        <v>1</v>
      </c>
      <c r="D26" s="111">
        <f t="shared" si="0"/>
        <v>18810.81081081081</v>
      </c>
      <c r="E26" s="31">
        <f t="shared" si="1"/>
        <v>12449.413079932923</v>
      </c>
      <c r="F26" s="102">
        <f t="shared" si="2"/>
        <v>31260.223890743735</v>
      </c>
      <c r="G26" s="121">
        <f t="shared" si="3"/>
        <v>2.2457057392775669E-2</v>
      </c>
    </row>
    <row r="27" spans="1:7" ht="16">
      <c r="A27" s="134" t="s">
        <v>28</v>
      </c>
      <c r="B27" s="155">
        <v>45</v>
      </c>
      <c r="C27" s="116">
        <v>1</v>
      </c>
      <c r="D27" s="111">
        <f t="shared" si="0"/>
        <v>18810.81081081081</v>
      </c>
      <c r="E27" s="31">
        <f t="shared" si="1"/>
        <v>17506.987143655675</v>
      </c>
      <c r="F27" s="102">
        <f t="shared" si="2"/>
        <v>36317.797954466485</v>
      </c>
      <c r="G27" s="121">
        <f t="shared" si="3"/>
        <v>2.609037209372592E-2</v>
      </c>
    </row>
    <row r="28" spans="1:7" ht="16">
      <c r="A28" s="136" t="s">
        <v>61</v>
      </c>
      <c r="B28" s="155">
        <v>45</v>
      </c>
      <c r="C28" s="116">
        <v>1</v>
      </c>
      <c r="D28" s="111">
        <f t="shared" si="0"/>
        <v>18810.81081081081</v>
      </c>
      <c r="E28" s="31">
        <f t="shared" si="1"/>
        <v>17506.987143655675</v>
      </c>
      <c r="F28" s="102">
        <f t="shared" si="2"/>
        <v>36317.797954466485</v>
      </c>
      <c r="G28" s="121">
        <f t="shared" si="3"/>
        <v>2.609037209372592E-2</v>
      </c>
    </row>
    <row r="29" spans="1:7" ht="16">
      <c r="A29" s="136" t="s">
        <v>24</v>
      </c>
      <c r="B29" s="155">
        <v>55</v>
      </c>
      <c r="C29" s="116">
        <v>1</v>
      </c>
      <c r="D29" s="111">
        <f t="shared" si="0"/>
        <v>18810.81081081081</v>
      </c>
      <c r="E29" s="31">
        <f t="shared" si="1"/>
        <v>21397.428731134711</v>
      </c>
      <c r="F29" s="102">
        <f t="shared" si="2"/>
        <v>40208.239541945521</v>
      </c>
      <c r="G29" s="121">
        <f t="shared" si="3"/>
        <v>2.8885229555995342E-2</v>
      </c>
    </row>
    <row r="30" spans="1:7" ht="16">
      <c r="A30" s="134" t="s">
        <v>20</v>
      </c>
      <c r="B30" s="155">
        <v>44</v>
      </c>
      <c r="C30" s="116">
        <v>1</v>
      </c>
      <c r="D30" s="111">
        <f t="shared" si="0"/>
        <v>18810.81081081081</v>
      </c>
      <c r="E30" s="31">
        <f t="shared" si="1"/>
        <v>17117.942984907771</v>
      </c>
      <c r="F30" s="102">
        <f t="shared" si="2"/>
        <v>35928.753795718585</v>
      </c>
      <c r="G30" s="121">
        <f t="shared" si="3"/>
        <v>2.5810886347498979E-2</v>
      </c>
    </row>
    <row r="31" spans="1:7" ht="16">
      <c r="A31" s="134" t="s">
        <v>25</v>
      </c>
      <c r="B31" s="155">
        <v>40</v>
      </c>
      <c r="C31" s="116">
        <v>1</v>
      </c>
      <c r="D31" s="111">
        <f t="shared" si="0"/>
        <v>18810.81081081081</v>
      </c>
      <c r="E31" s="31">
        <f t="shared" si="1"/>
        <v>15561.766349916154</v>
      </c>
      <c r="F31" s="102">
        <f t="shared" si="2"/>
        <v>34372.577160726963</v>
      </c>
      <c r="G31" s="121">
        <f t="shared" si="3"/>
        <v>2.4692943362591206E-2</v>
      </c>
    </row>
    <row r="32" spans="1:7" ht="16">
      <c r="A32" s="136" t="s">
        <v>74</v>
      </c>
      <c r="B32" s="155">
        <v>63</v>
      </c>
      <c r="C32" s="116">
        <v>1</v>
      </c>
      <c r="D32" s="111">
        <f t="shared" si="0"/>
        <v>18810.81081081081</v>
      </c>
      <c r="E32" s="31">
        <f t="shared" si="1"/>
        <v>24509.782001117943</v>
      </c>
      <c r="F32" s="102">
        <f t="shared" si="2"/>
        <v>43320.592811928756</v>
      </c>
      <c r="G32" s="121">
        <f t="shared" si="3"/>
        <v>3.1121115525810882E-2</v>
      </c>
    </row>
    <row r="33" spans="1:7" ht="16">
      <c r="A33" s="134" t="s">
        <v>73</v>
      </c>
      <c r="B33" s="155">
        <v>187</v>
      </c>
      <c r="C33" s="116">
        <v>1</v>
      </c>
      <c r="D33" s="111">
        <f t="shared" si="0"/>
        <v>18810.81081081081</v>
      </c>
      <c r="E33" s="31">
        <f t="shared" si="1"/>
        <v>72751.257685858014</v>
      </c>
      <c r="F33" s="102">
        <f t="shared" si="2"/>
        <v>91562.068496668828</v>
      </c>
      <c r="G33" s="121">
        <f t="shared" si="3"/>
        <v>6.5777348057951726E-2</v>
      </c>
    </row>
    <row r="34" spans="1:7" ht="16">
      <c r="A34" s="134" t="s">
        <v>23</v>
      </c>
      <c r="B34" s="155">
        <v>37</v>
      </c>
      <c r="C34" s="116">
        <v>1</v>
      </c>
      <c r="D34" s="111">
        <f t="shared" si="0"/>
        <v>18810.81081081081</v>
      </c>
      <c r="E34" s="31">
        <f t="shared" si="1"/>
        <v>14394.633873672443</v>
      </c>
      <c r="F34" s="102">
        <f t="shared" si="2"/>
        <v>33205.444684483256</v>
      </c>
      <c r="G34" s="121">
        <f t="shared" si="3"/>
        <v>2.3854486123910383E-2</v>
      </c>
    </row>
    <row r="35" spans="1:7" ht="16">
      <c r="A35" s="137" t="s">
        <v>27</v>
      </c>
      <c r="B35" s="155">
        <v>45</v>
      </c>
      <c r="C35" s="116">
        <v>1</v>
      </c>
      <c r="D35" s="111">
        <f t="shared" si="0"/>
        <v>18810.81081081081</v>
      </c>
      <c r="E35" s="31">
        <f t="shared" si="1"/>
        <v>17506.987143655675</v>
      </c>
      <c r="F35" s="102">
        <f t="shared" si="2"/>
        <v>36317.797954466485</v>
      </c>
      <c r="G35" s="121">
        <f t="shared" si="3"/>
        <v>2.609037209372592E-2</v>
      </c>
    </row>
    <row r="36" spans="1:7" ht="16">
      <c r="A36" s="134" t="s">
        <v>33</v>
      </c>
      <c r="B36" s="155">
        <v>60</v>
      </c>
      <c r="C36" s="116">
        <v>1</v>
      </c>
      <c r="D36" s="111">
        <f t="shared" si="0"/>
        <v>18810.81081081081</v>
      </c>
      <c r="E36" s="31">
        <f t="shared" si="1"/>
        <v>23342.649524874232</v>
      </c>
      <c r="F36" s="103">
        <f t="shared" si="2"/>
        <v>42153.460335685042</v>
      </c>
      <c r="G36" s="121">
        <f t="shared" si="3"/>
        <v>3.0282658287130053E-2</v>
      </c>
    </row>
    <row r="37" spans="1:7" ht="16">
      <c r="A37" s="134" t="s">
        <v>64</v>
      </c>
      <c r="B37" s="155">
        <v>101</v>
      </c>
      <c r="C37" s="116">
        <v>1</v>
      </c>
      <c r="D37" s="111">
        <f t="shared" si="0"/>
        <v>18810.81081081081</v>
      </c>
      <c r="E37" s="31">
        <f t="shared" si="1"/>
        <v>39293.460033538293</v>
      </c>
      <c r="F37" s="102">
        <f t="shared" si="2"/>
        <v>58104.270844349099</v>
      </c>
      <c r="G37" s="121">
        <f t="shared" si="3"/>
        <v>4.1741573882434692E-2</v>
      </c>
    </row>
    <row r="38" spans="1:7" ht="16">
      <c r="A38" s="134" t="s">
        <v>16</v>
      </c>
      <c r="B38" s="155">
        <v>46</v>
      </c>
      <c r="C38" s="116">
        <v>1</v>
      </c>
      <c r="D38" s="111">
        <f t="shared" si="0"/>
        <v>18810.81081081081</v>
      </c>
      <c r="E38" s="31">
        <f t="shared" si="1"/>
        <v>17896.031302403579</v>
      </c>
      <c r="F38" s="102">
        <f t="shared" si="2"/>
        <v>36706.842113214385</v>
      </c>
      <c r="G38" s="121">
        <f t="shared" si="3"/>
        <v>2.6369857839952857E-2</v>
      </c>
    </row>
    <row r="39" spans="1:7" ht="16">
      <c r="A39" s="134" t="s">
        <v>63</v>
      </c>
      <c r="B39" s="155">
        <v>31</v>
      </c>
      <c r="C39" s="116">
        <v>1</v>
      </c>
      <c r="D39" s="111">
        <f t="shared" si="0"/>
        <v>18810.81081081081</v>
      </c>
      <c r="E39" s="31">
        <f t="shared" si="1"/>
        <v>12060.36892118502</v>
      </c>
      <c r="F39" s="102">
        <f t="shared" si="2"/>
        <v>30871.179731995828</v>
      </c>
      <c r="G39" s="121">
        <f t="shared" si="3"/>
        <v>2.2177571646548724E-2</v>
      </c>
    </row>
    <row r="40" spans="1:7" ht="16">
      <c r="A40" s="134" t="s">
        <v>19</v>
      </c>
      <c r="B40" s="155">
        <v>43</v>
      </c>
      <c r="C40" s="116">
        <v>1</v>
      </c>
      <c r="D40" s="111">
        <f t="shared" si="0"/>
        <v>18810.81081081081</v>
      </c>
      <c r="E40" s="31">
        <f t="shared" si="1"/>
        <v>16728.898826159864</v>
      </c>
      <c r="F40" s="102">
        <f t="shared" si="2"/>
        <v>35539.709636970671</v>
      </c>
      <c r="G40" s="121">
        <f t="shared" si="3"/>
        <v>2.5531400601272028E-2</v>
      </c>
    </row>
    <row r="41" spans="1:7" ht="16">
      <c r="A41" s="134" t="s">
        <v>29</v>
      </c>
      <c r="B41" s="156">
        <v>29</v>
      </c>
      <c r="C41" s="117">
        <v>1</v>
      </c>
      <c r="D41" s="111">
        <f t="shared" si="0"/>
        <v>18810.81081081081</v>
      </c>
      <c r="E41" s="31">
        <f t="shared" si="1"/>
        <v>11282.280603689213</v>
      </c>
      <c r="F41" s="102">
        <f t="shared" si="2"/>
        <v>30093.091414500021</v>
      </c>
      <c r="G41" s="121">
        <f t="shared" si="3"/>
        <v>2.1618600154094839E-2</v>
      </c>
    </row>
    <row r="42" spans="1:7" ht="16">
      <c r="A42" s="138" t="s">
        <v>62</v>
      </c>
      <c r="B42" s="157">
        <v>24</v>
      </c>
      <c r="C42" s="118">
        <v>1</v>
      </c>
      <c r="D42" s="111">
        <f t="shared" si="0"/>
        <v>18810.81081081081</v>
      </c>
      <c r="E42" s="31">
        <f t="shared" si="1"/>
        <v>9337.0598099496929</v>
      </c>
      <c r="F42" s="102">
        <f t="shared" si="2"/>
        <v>28147.870620760503</v>
      </c>
      <c r="G42" s="121">
        <f t="shared" si="3"/>
        <v>2.0221171422960128E-2</v>
      </c>
    </row>
    <row r="43" spans="1:7" ht="16">
      <c r="A43" s="138" t="s">
        <v>32</v>
      </c>
      <c r="B43" s="157">
        <v>32</v>
      </c>
      <c r="C43" s="118">
        <v>1</v>
      </c>
      <c r="D43" s="111">
        <f t="shared" si="0"/>
        <v>18810.81081081081</v>
      </c>
      <c r="E43" s="31">
        <f t="shared" si="1"/>
        <v>12449.413079932923</v>
      </c>
      <c r="F43" s="104">
        <f t="shared" si="2"/>
        <v>31260.223890743735</v>
      </c>
      <c r="G43" s="121">
        <f t="shared" si="3"/>
        <v>2.2457057392775669E-2</v>
      </c>
    </row>
    <row r="44" spans="1:7" ht="16">
      <c r="A44" s="134" t="s">
        <v>58</v>
      </c>
      <c r="B44" s="156">
        <v>18</v>
      </c>
      <c r="C44" s="117">
        <v>1</v>
      </c>
      <c r="D44" s="111">
        <f t="shared" si="0"/>
        <v>18810.81081081081</v>
      </c>
      <c r="E44" s="31">
        <f t="shared" si="1"/>
        <v>7002.7948574622696</v>
      </c>
      <c r="F44" s="102">
        <f t="shared" si="2"/>
        <v>25813.605668273078</v>
      </c>
      <c r="G44" s="121">
        <f t="shared" si="3"/>
        <v>1.8544256945598473E-2</v>
      </c>
    </row>
    <row r="45" spans="1:7" ht="16">
      <c r="A45" s="134" t="s">
        <v>75</v>
      </c>
      <c r="B45" s="156">
        <v>81</v>
      </c>
      <c r="C45" s="117">
        <v>1</v>
      </c>
      <c r="D45" s="111">
        <f t="shared" si="0"/>
        <v>18810.81081081081</v>
      </c>
      <c r="E45" s="31">
        <f t="shared" si="1"/>
        <v>31512.576858580211</v>
      </c>
      <c r="F45" s="102">
        <f t="shared" si="2"/>
        <v>50323.387669391021</v>
      </c>
      <c r="G45" s="121">
        <f t="shared" si="3"/>
        <v>3.6151858957895841E-2</v>
      </c>
    </row>
    <row r="46" spans="1:7" ht="16">
      <c r="A46" s="138" t="s">
        <v>76</v>
      </c>
      <c r="B46" s="158">
        <v>3</v>
      </c>
      <c r="C46" s="115">
        <v>1</v>
      </c>
      <c r="D46" s="111">
        <f t="shared" si="0"/>
        <v>18810.81081081081</v>
      </c>
      <c r="E46" s="31">
        <f t="shared" si="1"/>
        <v>1167.1324762437116</v>
      </c>
      <c r="F46" s="102">
        <f t="shared" si="2"/>
        <v>19977.943287054521</v>
      </c>
      <c r="G46" s="121">
        <f t="shared" si="3"/>
        <v>1.4351970752194337E-2</v>
      </c>
    </row>
    <row r="47" spans="1:7" ht="16">
      <c r="A47" s="134" t="s">
        <v>77</v>
      </c>
      <c r="B47" s="172">
        <v>0</v>
      </c>
      <c r="C47" s="173">
        <v>0</v>
      </c>
      <c r="D47" s="111">
        <f t="shared" si="0"/>
        <v>0</v>
      </c>
      <c r="E47" s="31">
        <f t="shared" si="1"/>
        <v>0</v>
      </c>
      <c r="F47" s="102">
        <f t="shared" si="2"/>
        <v>0</v>
      </c>
      <c r="G47" s="121">
        <f t="shared" si="3"/>
        <v>0</v>
      </c>
    </row>
    <row r="48" spans="1:7" ht="16">
      <c r="A48" s="138" t="s">
        <v>65</v>
      </c>
      <c r="B48" s="158">
        <v>15</v>
      </c>
      <c r="C48" s="115">
        <v>1</v>
      </c>
      <c r="D48" s="111">
        <f t="shared" si="0"/>
        <v>18810.81081081081</v>
      </c>
      <c r="E48" s="31">
        <f t="shared" si="1"/>
        <v>5835.662381218558</v>
      </c>
      <c r="F48" s="102">
        <f t="shared" si="2"/>
        <v>24646.473192029367</v>
      </c>
      <c r="G48" s="121">
        <f t="shared" si="3"/>
        <v>1.7705799706917647E-2</v>
      </c>
    </row>
    <row r="49" spans="1:7" ht="16">
      <c r="A49" s="139" t="s">
        <v>53</v>
      </c>
      <c r="B49" s="158">
        <v>14</v>
      </c>
      <c r="C49" s="115">
        <v>1</v>
      </c>
      <c r="D49" s="111">
        <f t="shared" si="0"/>
        <v>18810.81081081081</v>
      </c>
      <c r="E49" s="31">
        <f t="shared" si="1"/>
        <v>5446.6182224706536</v>
      </c>
      <c r="F49" s="102">
        <f t="shared" si="2"/>
        <v>24257.429033281463</v>
      </c>
      <c r="G49" s="121">
        <f t="shared" si="3"/>
        <v>1.7426313960690703E-2</v>
      </c>
    </row>
    <row r="50" spans="1:7" ht="16">
      <c r="A50" s="138" t="s">
        <v>56</v>
      </c>
      <c r="B50" s="158">
        <v>4</v>
      </c>
      <c r="C50" s="115">
        <v>1</v>
      </c>
      <c r="D50" s="111">
        <f t="shared" si="0"/>
        <v>18810.81081081081</v>
      </c>
      <c r="E50" s="31">
        <f t="shared" si="1"/>
        <v>1556.1766349916154</v>
      </c>
      <c r="F50" s="102">
        <f t="shared" si="2"/>
        <v>20366.987445802424</v>
      </c>
      <c r="G50" s="121">
        <f t="shared" si="3"/>
        <v>1.4631456498421279E-2</v>
      </c>
    </row>
    <row r="51" spans="1:7" ht="16">
      <c r="A51" s="134" t="s">
        <v>59</v>
      </c>
      <c r="B51" s="172">
        <v>0</v>
      </c>
      <c r="C51" s="174">
        <v>0</v>
      </c>
      <c r="D51" s="111">
        <f t="shared" si="0"/>
        <v>0</v>
      </c>
      <c r="E51" s="31">
        <f t="shared" si="1"/>
        <v>0</v>
      </c>
      <c r="F51" s="102">
        <f t="shared" si="2"/>
        <v>0</v>
      </c>
      <c r="G51" s="121">
        <f t="shared" si="3"/>
        <v>0</v>
      </c>
    </row>
    <row r="52" spans="1:7" ht="16">
      <c r="A52" s="138" t="s">
        <v>140</v>
      </c>
      <c r="B52" s="158">
        <v>2</v>
      </c>
      <c r="C52" s="118">
        <v>1</v>
      </c>
      <c r="D52" s="111">
        <f t="shared" si="0"/>
        <v>18810.81081081081</v>
      </c>
      <c r="E52" s="31">
        <f t="shared" si="1"/>
        <v>778.0883174958077</v>
      </c>
      <c r="F52" s="102">
        <f t="shared" si="2"/>
        <v>19588.899128306617</v>
      </c>
      <c r="G52" s="121">
        <f t="shared" si="3"/>
        <v>1.4072485005967394E-2</v>
      </c>
    </row>
    <row r="53" spans="1:7" ht="16">
      <c r="A53" s="124" t="s">
        <v>35</v>
      </c>
      <c r="B53" s="158">
        <v>3</v>
      </c>
      <c r="C53" s="117">
        <v>1</v>
      </c>
      <c r="D53" s="111">
        <f t="shared" si="0"/>
        <v>18810.81081081081</v>
      </c>
      <c r="E53" s="31">
        <f t="shared" si="1"/>
        <v>1167.1324762437116</v>
      </c>
      <c r="F53" s="102">
        <f t="shared" si="2"/>
        <v>19977.943287054521</v>
      </c>
      <c r="G53" s="121">
        <f t="shared" si="3"/>
        <v>1.4351970752194337E-2</v>
      </c>
    </row>
    <row r="54" spans="1:7" ht="16">
      <c r="A54" s="134" t="s">
        <v>78</v>
      </c>
      <c r="B54" s="155">
        <v>7</v>
      </c>
      <c r="C54" s="117">
        <v>1</v>
      </c>
      <c r="D54" s="111">
        <f t="shared" si="0"/>
        <v>18810.81081081081</v>
      </c>
      <c r="E54" s="31">
        <f t="shared" si="1"/>
        <v>2723.3091112353268</v>
      </c>
      <c r="F54" s="102">
        <f t="shared" si="2"/>
        <v>21534.119922046135</v>
      </c>
      <c r="G54" s="121">
        <f t="shared" si="3"/>
        <v>1.5469913737102105E-2</v>
      </c>
    </row>
    <row r="55" spans="1:7" ht="16">
      <c r="A55" s="134" t="s">
        <v>116</v>
      </c>
      <c r="B55" s="175">
        <v>0</v>
      </c>
      <c r="C55" s="176">
        <v>0</v>
      </c>
      <c r="D55" s="111">
        <f t="shared" si="0"/>
        <v>0</v>
      </c>
      <c r="E55" s="31">
        <f t="shared" si="1"/>
        <v>0</v>
      </c>
      <c r="F55" s="102">
        <f t="shared" si="2"/>
        <v>0</v>
      </c>
      <c r="G55" s="121">
        <f t="shared" si="3"/>
        <v>0</v>
      </c>
    </row>
    <row r="56" spans="1:7" ht="16">
      <c r="A56" s="134" t="s">
        <v>117</v>
      </c>
      <c r="B56" s="155">
        <v>1</v>
      </c>
      <c r="C56" s="117">
        <v>1</v>
      </c>
      <c r="D56" s="111">
        <f t="shared" si="0"/>
        <v>18810.81081081081</v>
      </c>
      <c r="E56" s="31">
        <f t="shared" si="1"/>
        <v>389.04415874790385</v>
      </c>
      <c r="F56" s="102">
        <f t="shared" si="2"/>
        <v>19199.854969558713</v>
      </c>
      <c r="G56" s="121">
        <f t="shared" si="3"/>
        <v>1.3792999259740453E-2</v>
      </c>
    </row>
    <row r="57" spans="1:7" ht="17" thickBot="1">
      <c r="A57" s="61"/>
      <c r="B57" s="127"/>
      <c r="C57" s="60"/>
      <c r="D57" s="57"/>
      <c r="E57" s="57"/>
      <c r="F57" s="91"/>
    </row>
    <row r="58" spans="1:7" ht="17" thickBot="1">
      <c r="A58" s="54" t="s">
        <v>36</v>
      </c>
      <c r="B58" s="128">
        <f>SUM(B17:B56)</f>
        <v>1789</v>
      </c>
      <c r="C58" s="119">
        <f>SUM(C17:C56)</f>
        <v>37</v>
      </c>
      <c r="D58" s="31">
        <f>SUM(D17:D56)</f>
        <v>695999.99999999977</v>
      </c>
      <c r="E58" s="31">
        <f>SUM(E17:E56)</f>
        <v>695999.99999999988</v>
      </c>
      <c r="F58" s="120">
        <f>SUM(F17:F56)</f>
        <v>1392000.0000000002</v>
      </c>
      <c r="G58" s="98">
        <f t="shared" ref="G58" si="4">SUM(G17:G54)</f>
        <v>0.98620700074025935</v>
      </c>
    </row>
    <row r="59" spans="1:7" ht="16">
      <c r="A59" s="153" t="s">
        <v>118</v>
      </c>
      <c r="B59" s="60"/>
      <c r="C59" s="60"/>
      <c r="D59" s="31">
        <f>F10*D15</f>
        <v>696000</v>
      </c>
      <c r="E59" s="31">
        <f>F10*E15</f>
        <v>696000</v>
      </c>
      <c r="F59" s="31"/>
      <c r="G59"/>
    </row>
    <row r="60" spans="1:7" ht="16">
      <c r="A60" s="61"/>
      <c r="B60" s="92"/>
      <c r="C60" s="92"/>
      <c r="D60" s="63"/>
      <c r="E60" s="109">
        <f>E58+D58</f>
        <v>1391999.9999999995</v>
      </c>
      <c r="F60" s="63"/>
      <c r="G60"/>
    </row>
    <row r="61" spans="1:7" ht="13.5" customHeight="1">
      <c r="D61" s="65"/>
      <c r="E61" s="65"/>
      <c r="F61" s="65"/>
      <c r="G61"/>
    </row>
    <row r="62" spans="1:7">
      <c r="A62" s="5" t="s">
        <v>125</v>
      </c>
      <c r="D62" s="68"/>
      <c r="E62" s="68"/>
      <c r="F62" s="68"/>
      <c r="G62"/>
    </row>
  </sheetData>
  <autoFilter ref="A16:G16" xr:uid="{00000000-0009-0000-0000-00000A000000}">
    <sortState ref="A17:G53">
      <sortCondition descending="1" ref="F16"/>
    </sortState>
  </autoFilter>
  <mergeCells count="3">
    <mergeCell ref="A1:F3"/>
    <mergeCell ref="B7:F7"/>
    <mergeCell ref="D14:F14"/>
  </mergeCells>
  <pageMargins left="0.7" right="0.7" top="0.78740157499999996" bottom="0.78740157499999996" header="0.3" footer="0.3"/>
  <pageSetup paperSize="9" scale="60" orientation="portrait" horizontalDpi="300" verticalDpi="300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63"/>
  <sheetViews>
    <sheetView zoomScale="80" zoomScaleNormal="80" workbookViewId="0">
      <selection activeCell="A57" sqref="A57"/>
    </sheetView>
  </sheetViews>
  <sheetFormatPr baseColWidth="10" defaultColWidth="8.83203125" defaultRowHeight="15"/>
  <cols>
    <col min="1" max="1" width="45.5" customWidth="1"/>
    <col min="2" max="2" width="21.6640625" style="2" customWidth="1"/>
    <col min="3" max="3" width="10.33203125" style="2" customWidth="1"/>
    <col min="4" max="4" width="15" customWidth="1"/>
    <col min="5" max="5" width="18.83203125" customWidth="1"/>
    <col min="6" max="6" width="13.83203125" bestFit="1" customWidth="1"/>
    <col min="7" max="7" width="8.5" style="94" bestFit="1" customWidth="1"/>
    <col min="8" max="8" width="10.33203125" customWidth="1"/>
  </cols>
  <sheetData>
    <row r="1" spans="1:7" ht="18.75" customHeight="1">
      <c r="A1" s="266" t="s">
        <v>131</v>
      </c>
      <c r="B1" s="266"/>
      <c r="C1" s="266"/>
      <c r="D1" s="266"/>
      <c r="E1" s="266"/>
      <c r="F1" s="266"/>
    </row>
    <row r="2" spans="1:7" ht="18.75" customHeight="1">
      <c r="A2" s="266"/>
      <c r="B2" s="266"/>
      <c r="C2" s="266"/>
      <c r="D2" s="266"/>
      <c r="E2" s="266"/>
      <c r="F2" s="266"/>
    </row>
    <row r="3" spans="1:7" ht="18.75" customHeight="1">
      <c r="A3" s="266"/>
      <c r="B3" s="266"/>
      <c r="C3" s="266"/>
      <c r="D3" s="266"/>
      <c r="E3" s="266"/>
      <c r="F3" s="266"/>
    </row>
    <row r="4" spans="1:7" ht="16">
      <c r="A4" s="3" t="s">
        <v>132</v>
      </c>
    </row>
    <row r="5" spans="1:7" ht="16">
      <c r="A5" s="4" t="s">
        <v>71</v>
      </c>
    </row>
    <row r="6" spans="1:7" ht="16.5" customHeight="1" thickBot="1">
      <c r="A6" s="5"/>
    </row>
    <row r="7" spans="1:7" ht="17" thickBot="1">
      <c r="B7" s="267" t="s">
        <v>54</v>
      </c>
      <c r="C7" s="268"/>
      <c r="D7" s="268"/>
      <c r="E7" s="268"/>
      <c r="F7" s="269"/>
    </row>
    <row r="8" spans="1:7" ht="17" thickBot="1">
      <c r="B8" s="161" t="s">
        <v>133</v>
      </c>
      <c r="C8" s="162"/>
      <c r="D8" s="162"/>
      <c r="E8" s="162"/>
      <c r="F8" s="93">
        <v>970500</v>
      </c>
    </row>
    <row r="9" spans="1:7" ht="16" thickBot="1">
      <c r="B9" s="163"/>
    </row>
    <row r="10" spans="1:7" ht="16.5" customHeight="1" thickBot="1">
      <c r="B10" s="164" t="s">
        <v>134</v>
      </c>
      <c r="C10" s="105"/>
      <c r="D10" s="105"/>
      <c r="E10" s="106"/>
      <c r="F10" s="165">
        <f>SUM(F8,-F11)</f>
        <v>970500</v>
      </c>
    </row>
    <row r="11" spans="1:7" ht="16.5" customHeight="1" thickBot="1">
      <c r="A11" s="99"/>
      <c r="B11" s="164" t="s">
        <v>114</v>
      </c>
      <c r="C11" s="166"/>
      <c r="D11" s="166"/>
      <c r="E11" s="166"/>
      <c r="F11" s="165">
        <v>0</v>
      </c>
    </row>
    <row r="12" spans="1:7" ht="16.5" customHeight="1">
      <c r="A12" s="99"/>
      <c r="B12" s="99"/>
      <c r="C12" s="99"/>
      <c r="D12" s="100"/>
    </row>
    <row r="13" spans="1:7" s="11" customFormat="1" ht="16.5" customHeight="1" thickBot="1">
      <c r="A13" s="9"/>
      <c r="B13" s="10"/>
      <c r="C13" s="10"/>
      <c r="E13" s="12"/>
      <c r="F13" s="13"/>
      <c r="G13" s="95"/>
    </row>
    <row r="14" spans="1:7" s="9" customFormat="1" ht="65.25" customHeight="1" thickBot="1">
      <c r="B14" s="191" t="s">
        <v>135</v>
      </c>
      <c r="C14" s="191" t="s">
        <v>68</v>
      </c>
      <c r="D14" s="261" t="s">
        <v>136</v>
      </c>
      <c r="E14" s="262"/>
      <c r="F14" s="263"/>
      <c r="G14" s="96"/>
    </row>
    <row r="15" spans="1:7" s="20" customFormat="1" ht="17" thickBot="1">
      <c r="B15" s="107"/>
      <c r="C15" s="191"/>
      <c r="D15" s="17">
        <v>0.5</v>
      </c>
      <c r="E15" s="18">
        <f>1-D15</f>
        <v>0.5</v>
      </c>
      <c r="F15" s="108"/>
      <c r="G15" s="97"/>
    </row>
    <row r="16" spans="1:7" s="20" customFormat="1" ht="17" thickBot="1">
      <c r="A16" s="112" t="s">
        <v>66</v>
      </c>
      <c r="B16" s="107">
        <v>2015</v>
      </c>
      <c r="C16" s="191"/>
      <c r="D16" s="17" t="s">
        <v>4</v>
      </c>
      <c r="E16" s="18" t="s">
        <v>5</v>
      </c>
      <c r="F16" s="108" t="s">
        <v>6</v>
      </c>
      <c r="G16" s="113" t="s">
        <v>67</v>
      </c>
    </row>
    <row r="17" spans="1:7" ht="16">
      <c r="A17" s="177" t="s">
        <v>7</v>
      </c>
      <c r="B17" s="154">
        <v>30</v>
      </c>
      <c r="C17" s="192">
        <v>1</v>
      </c>
      <c r="D17" s="193">
        <f t="shared" ref="D17:D57" si="0">$F$10*$D$15/$C$59*C17</f>
        <v>13479.166666666666</v>
      </c>
      <c r="E17" s="24">
        <f t="shared" ref="E17:E57" si="1">$F$10*$E$15*B17/$B$59</f>
        <v>8215.2934537246056</v>
      </c>
      <c r="F17" s="194">
        <f t="shared" ref="F17:F57" si="2">(D17+E17)</f>
        <v>21694.460120391272</v>
      </c>
      <c r="G17" s="195">
        <f t="shared" ref="G17:G57" si="3">F17/$F$59</f>
        <v>2.2668743840015267E-2</v>
      </c>
    </row>
    <row r="18" spans="1:7" ht="16.5" customHeight="1">
      <c r="A18" s="134" t="s">
        <v>11</v>
      </c>
      <c r="B18" s="155">
        <v>82</v>
      </c>
      <c r="C18" s="116">
        <v>1</v>
      </c>
      <c r="D18" s="111">
        <f t="shared" si="0"/>
        <v>13479.166666666666</v>
      </c>
      <c r="E18" s="31">
        <f t="shared" si="1"/>
        <v>22455.135440180587</v>
      </c>
      <c r="F18" s="102">
        <f t="shared" si="2"/>
        <v>35934.302106847252</v>
      </c>
      <c r="G18" s="121">
        <f t="shared" si="3"/>
        <v>3.754808762280229E-2</v>
      </c>
    </row>
    <row r="19" spans="1:7" ht="16">
      <c r="A19" s="136" t="s">
        <v>12</v>
      </c>
      <c r="B19" s="155">
        <v>98</v>
      </c>
      <c r="C19" s="116">
        <v>1</v>
      </c>
      <c r="D19" s="111">
        <f t="shared" si="0"/>
        <v>13479.166666666666</v>
      </c>
      <c r="E19" s="31">
        <f t="shared" si="1"/>
        <v>26836.625282167042</v>
      </c>
      <c r="F19" s="102">
        <f t="shared" si="2"/>
        <v>40315.791948833707</v>
      </c>
      <c r="G19" s="121">
        <f t="shared" si="3"/>
        <v>4.2126347248275214E-2</v>
      </c>
    </row>
    <row r="20" spans="1:7" ht="16">
      <c r="A20" s="136" t="s">
        <v>57</v>
      </c>
      <c r="B20" s="155">
        <v>127</v>
      </c>
      <c r="C20" s="116">
        <v>1</v>
      </c>
      <c r="D20" s="111">
        <f t="shared" si="0"/>
        <v>13479.166666666666</v>
      </c>
      <c r="E20" s="31">
        <f t="shared" si="1"/>
        <v>34778.075620767493</v>
      </c>
      <c r="F20" s="102">
        <f t="shared" si="2"/>
        <v>48257.242287434157</v>
      </c>
      <c r="G20" s="121">
        <f t="shared" si="3"/>
        <v>5.0424442819444901E-2</v>
      </c>
    </row>
    <row r="21" spans="1:7" ht="16">
      <c r="A21" s="134" t="s">
        <v>8</v>
      </c>
      <c r="B21" s="155">
        <v>79</v>
      </c>
      <c r="C21" s="116">
        <v>1</v>
      </c>
      <c r="D21" s="111">
        <f t="shared" si="0"/>
        <v>13479.166666666666</v>
      </c>
      <c r="E21" s="31">
        <f t="shared" si="1"/>
        <v>21633.606094808125</v>
      </c>
      <c r="F21" s="102">
        <f t="shared" si="2"/>
        <v>35112.772761474793</v>
      </c>
      <c r="G21" s="121">
        <f t="shared" si="3"/>
        <v>3.6689663943026113E-2</v>
      </c>
    </row>
    <row r="22" spans="1:7" ht="16.5" customHeight="1">
      <c r="A22" s="134" t="s">
        <v>69</v>
      </c>
      <c r="B22" s="155">
        <v>78</v>
      </c>
      <c r="C22" s="116">
        <v>1</v>
      </c>
      <c r="D22" s="111">
        <f t="shared" si="0"/>
        <v>13479.166666666666</v>
      </c>
      <c r="E22" s="31">
        <f t="shared" si="1"/>
        <v>21359.762979683972</v>
      </c>
      <c r="F22" s="102">
        <f t="shared" si="2"/>
        <v>34838.92964635064</v>
      </c>
      <c r="G22" s="121">
        <f t="shared" si="3"/>
        <v>3.6403522716434059E-2</v>
      </c>
    </row>
    <row r="23" spans="1:7" ht="16.5" customHeight="1">
      <c r="A23" s="134" t="s">
        <v>13</v>
      </c>
      <c r="B23" s="155">
        <v>77</v>
      </c>
      <c r="C23" s="116">
        <v>1</v>
      </c>
      <c r="D23" s="111">
        <f t="shared" si="0"/>
        <v>13479.166666666666</v>
      </c>
      <c r="E23" s="31">
        <f t="shared" si="1"/>
        <v>21085.919864559819</v>
      </c>
      <c r="F23" s="102">
        <f t="shared" si="2"/>
        <v>34565.086531226487</v>
      </c>
      <c r="G23" s="121">
        <f t="shared" si="3"/>
        <v>3.6117381489841997E-2</v>
      </c>
    </row>
    <row r="24" spans="1:7" ht="16">
      <c r="A24" s="134" t="s">
        <v>60</v>
      </c>
      <c r="B24" s="155">
        <v>51</v>
      </c>
      <c r="C24" s="116">
        <v>1</v>
      </c>
      <c r="D24" s="111">
        <f t="shared" si="0"/>
        <v>13479.166666666666</v>
      </c>
      <c r="E24" s="31">
        <f t="shared" si="1"/>
        <v>13965.998871331829</v>
      </c>
      <c r="F24" s="102">
        <f t="shared" si="2"/>
        <v>27445.165537998495</v>
      </c>
      <c r="G24" s="121">
        <f t="shared" si="3"/>
        <v>2.8677709598448488E-2</v>
      </c>
    </row>
    <row r="25" spans="1:7" ht="16">
      <c r="A25" s="136" t="s">
        <v>10</v>
      </c>
      <c r="B25" s="155">
        <v>45</v>
      </c>
      <c r="C25" s="116">
        <v>1</v>
      </c>
      <c r="D25" s="111">
        <f t="shared" si="0"/>
        <v>13479.166666666666</v>
      </c>
      <c r="E25" s="31">
        <f t="shared" si="1"/>
        <v>12322.940180586907</v>
      </c>
      <c r="F25" s="102">
        <f t="shared" si="2"/>
        <v>25802.106847253574</v>
      </c>
      <c r="G25" s="121">
        <f t="shared" si="3"/>
        <v>2.6960862238896138E-2</v>
      </c>
    </row>
    <row r="26" spans="1:7" ht="16">
      <c r="A26" s="134" t="s">
        <v>21</v>
      </c>
      <c r="B26" s="155">
        <v>32</v>
      </c>
      <c r="C26" s="116">
        <v>1</v>
      </c>
      <c r="D26" s="111">
        <f t="shared" si="0"/>
        <v>13479.166666666666</v>
      </c>
      <c r="E26" s="31">
        <f t="shared" si="1"/>
        <v>8762.9796839729115</v>
      </c>
      <c r="F26" s="102">
        <f t="shared" si="2"/>
        <v>22242.146350639578</v>
      </c>
      <c r="G26" s="121">
        <f t="shared" si="3"/>
        <v>2.3241026293199383E-2</v>
      </c>
    </row>
    <row r="27" spans="1:7" ht="16">
      <c r="A27" s="134" t="s">
        <v>28</v>
      </c>
      <c r="B27" s="155">
        <v>44</v>
      </c>
      <c r="C27" s="116">
        <v>1</v>
      </c>
      <c r="D27" s="111">
        <f t="shared" si="0"/>
        <v>13479.166666666666</v>
      </c>
      <c r="E27" s="31">
        <f t="shared" si="1"/>
        <v>12049.097065462754</v>
      </c>
      <c r="F27" s="102">
        <f t="shared" si="2"/>
        <v>25528.263732129421</v>
      </c>
      <c r="G27" s="121">
        <f t="shared" si="3"/>
        <v>2.667472101230408E-2</v>
      </c>
    </row>
    <row r="28" spans="1:7" ht="16">
      <c r="A28" s="136" t="s">
        <v>61</v>
      </c>
      <c r="B28" s="155">
        <v>65</v>
      </c>
      <c r="C28" s="116">
        <v>1</v>
      </c>
      <c r="D28" s="111">
        <f t="shared" si="0"/>
        <v>13479.166666666666</v>
      </c>
      <c r="E28" s="31">
        <f t="shared" si="1"/>
        <v>17799.802483069976</v>
      </c>
      <c r="F28" s="102">
        <f t="shared" si="2"/>
        <v>31278.969149736644</v>
      </c>
      <c r="G28" s="121">
        <f t="shared" si="3"/>
        <v>3.2683686770737304E-2</v>
      </c>
    </row>
    <row r="29" spans="1:7" ht="16">
      <c r="A29" s="136" t="s">
        <v>24</v>
      </c>
      <c r="B29" s="155">
        <v>52</v>
      </c>
      <c r="C29" s="116">
        <v>1</v>
      </c>
      <c r="D29" s="111">
        <f t="shared" si="0"/>
        <v>13479.166666666666</v>
      </c>
      <c r="E29" s="31">
        <f t="shared" si="1"/>
        <v>14239.841986455982</v>
      </c>
      <c r="F29" s="102">
        <f t="shared" si="2"/>
        <v>27719.008653122648</v>
      </c>
      <c r="G29" s="121">
        <f t="shared" si="3"/>
        <v>2.8963850825040546E-2</v>
      </c>
    </row>
    <row r="30" spans="1:7" ht="16">
      <c r="A30" s="134" t="s">
        <v>20</v>
      </c>
      <c r="B30" s="155">
        <v>48</v>
      </c>
      <c r="C30" s="116">
        <v>1</v>
      </c>
      <c r="D30" s="111">
        <f t="shared" si="0"/>
        <v>13479.166666666666</v>
      </c>
      <c r="E30" s="31">
        <f t="shared" si="1"/>
        <v>13144.469525959368</v>
      </c>
      <c r="F30" s="102">
        <f t="shared" si="2"/>
        <v>26623.636192626036</v>
      </c>
      <c r="G30" s="121">
        <f t="shared" si="3"/>
        <v>2.7819285918672314E-2</v>
      </c>
    </row>
    <row r="31" spans="1:7" ht="16">
      <c r="A31" s="134" t="s">
        <v>25</v>
      </c>
      <c r="B31" s="155">
        <v>34</v>
      </c>
      <c r="C31" s="116">
        <v>1</v>
      </c>
      <c r="D31" s="111">
        <f t="shared" si="0"/>
        <v>13479.166666666666</v>
      </c>
      <c r="E31" s="31">
        <f t="shared" si="1"/>
        <v>9310.6659142212193</v>
      </c>
      <c r="F31" s="102">
        <f t="shared" si="2"/>
        <v>22789.832580887887</v>
      </c>
      <c r="G31" s="121">
        <f t="shared" si="3"/>
        <v>2.3813308746383502E-2</v>
      </c>
    </row>
    <row r="32" spans="1:7" ht="16">
      <c r="A32" s="136" t="s">
        <v>74</v>
      </c>
      <c r="B32" s="155">
        <v>59</v>
      </c>
      <c r="C32" s="116">
        <v>1</v>
      </c>
      <c r="D32" s="111">
        <f t="shared" si="0"/>
        <v>13479.166666666666</v>
      </c>
      <c r="E32" s="31">
        <f t="shared" si="1"/>
        <v>16156.743792325056</v>
      </c>
      <c r="F32" s="102">
        <f t="shared" si="2"/>
        <v>29635.910458991722</v>
      </c>
      <c r="G32" s="121">
        <f t="shared" si="3"/>
        <v>3.0966839411184954E-2</v>
      </c>
    </row>
    <row r="33" spans="1:7" ht="16">
      <c r="A33" s="134" t="s">
        <v>73</v>
      </c>
      <c r="B33" s="155">
        <v>177</v>
      </c>
      <c r="C33" s="116">
        <v>1</v>
      </c>
      <c r="D33" s="111">
        <f t="shared" si="0"/>
        <v>13479.166666666666</v>
      </c>
      <c r="E33" s="31">
        <f t="shared" si="1"/>
        <v>48470.231376975171</v>
      </c>
      <c r="F33" s="102">
        <f t="shared" si="2"/>
        <v>61949.398043641835</v>
      </c>
      <c r="G33" s="121">
        <f t="shared" si="3"/>
        <v>6.4731504149047811E-2</v>
      </c>
    </row>
    <row r="34" spans="1:7" ht="16">
      <c r="A34" s="134" t="s">
        <v>23</v>
      </c>
      <c r="B34" s="155">
        <v>41</v>
      </c>
      <c r="C34" s="116">
        <v>1</v>
      </c>
      <c r="D34" s="111">
        <f t="shared" si="0"/>
        <v>13479.166666666666</v>
      </c>
      <c r="E34" s="31">
        <f t="shared" si="1"/>
        <v>11227.567720090294</v>
      </c>
      <c r="F34" s="102">
        <f t="shared" si="2"/>
        <v>24706.734386756958</v>
      </c>
      <c r="G34" s="121">
        <f t="shared" si="3"/>
        <v>2.5816297332527906E-2</v>
      </c>
    </row>
    <row r="35" spans="1:7" ht="16">
      <c r="A35" s="137" t="s">
        <v>27</v>
      </c>
      <c r="B35" s="155">
        <v>48</v>
      </c>
      <c r="C35" s="116">
        <v>1</v>
      </c>
      <c r="D35" s="111">
        <f t="shared" si="0"/>
        <v>13479.166666666666</v>
      </c>
      <c r="E35" s="31">
        <f t="shared" si="1"/>
        <v>13144.469525959368</v>
      </c>
      <c r="F35" s="102">
        <f t="shared" si="2"/>
        <v>26623.636192626036</v>
      </c>
      <c r="G35" s="121">
        <f t="shared" si="3"/>
        <v>2.7819285918672314E-2</v>
      </c>
    </row>
    <row r="36" spans="1:7" ht="16">
      <c r="A36" s="134" t="s">
        <v>33</v>
      </c>
      <c r="B36" s="155">
        <v>53</v>
      </c>
      <c r="C36" s="116">
        <v>1</v>
      </c>
      <c r="D36" s="111">
        <f t="shared" si="0"/>
        <v>13479.166666666666</v>
      </c>
      <c r="E36" s="31">
        <f t="shared" si="1"/>
        <v>14513.685101580135</v>
      </c>
      <c r="F36" s="103">
        <f t="shared" si="2"/>
        <v>27992.851768246801</v>
      </c>
      <c r="G36" s="121">
        <f t="shared" si="3"/>
        <v>2.9249992051632603E-2</v>
      </c>
    </row>
    <row r="37" spans="1:7" ht="16">
      <c r="A37" s="134" t="s">
        <v>64</v>
      </c>
      <c r="B37" s="155">
        <v>107</v>
      </c>
      <c r="C37" s="116">
        <v>1</v>
      </c>
      <c r="D37" s="111">
        <f t="shared" si="0"/>
        <v>13479.166666666666</v>
      </c>
      <c r="E37" s="31">
        <f t="shared" si="1"/>
        <v>29301.213318284423</v>
      </c>
      <c r="F37" s="102">
        <f t="shared" si="2"/>
        <v>42780.379984951091</v>
      </c>
      <c r="G37" s="121">
        <f t="shared" si="3"/>
        <v>4.4701618287603738E-2</v>
      </c>
    </row>
    <row r="38" spans="1:7" ht="16">
      <c r="A38" s="134" t="s">
        <v>16</v>
      </c>
      <c r="B38" s="155">
        <v>46</v>
      </c>
      <c r="C38" s="116">
        <v>1</v>
      </c>
      <c r="D38" s="111">
        <f t="shared" si="0"/>
        <v>13479.166666666666</v>
      </c>
      <c r="E38" s="31">
        <f t="shared" si="1"/>
        <v>12596.78329571106</v>
      </c>
      <c r="F38" s="102">
        <f t="shared" si="2"/>
        <v>26075.949962377726</v>
      </c>
      <c r="G38" s="121">
        <f t="shared" si="3"/>
        <v>2.7247003465488195E-2</v>
      </c>
    </row>
    <row r="39" spans="1:7" ht="16">
      <c r="A39" s="134" t="s">
        <v>63</v>
      </c>
      <c r="B39" s="155">
        <v>31</v>
      </c>
      <c r="C39" s="116">
        <v>1</v>
      </c>
      <c r="D39" s="111">
        <f t="shared" si="0"/>
        <v>13479.166666666666</v>
      </c>
      <c r="E39" s="31">
        <f t="shared" si="1"/>
        <v>8489.1365688487585</v>
      </c>
      <c r="F39" s="102">
        <f t="shared" si="2"/>
        <v>21968.303235515425</v>
      </c>
      <c r="G39" s="121">
        <f t="shared" si="3"/>
        <v>2.2954885066607325E-2</v>
      </c>
    </row>
    <row r="40" spans="1:7" ht="16">
      <c r="A40" s="134" t="s">
        <v>19</v>
      </c>
      <c r="B40" s="155">
        <v>43</v>
      </c>
      <c r="C40" s="116">
        <v>1</v>
      </c>
      <c r="D40" s="111">
        <f t="shared" si="0"/>
        <v>13479.166666666666</v>
      </c>
      <c r="E40" s="31">
        <f t="shared" si="1"/>
        <v>11775.2539503386</v>
      </c>
      <c r="F40" s="102">
        <f t="shared" si="2"/>
        <v>25254.420617005264</v>
      </c>
      <c r="G40" s="121">
        <f t="shared" si="3"/>
        <v>2.6388579785712019E-2</v>
      </c>
    </row>
    <row r="41" spans="1:7" ht="16">
      <c r="A41" s="134" t="s">
        <v>29</v>
      </c>
      <c r="B41" s="156">
        <v>28</v>
      </c>
      <c r="C41" s="117">
        <v>1</v>
      </c>
      <c r="D41" s="111">
        <f t="shared" si="0"/>
        <v>13479.166666666666</v>
      </c>
      <c r="E41" s="31">
        <f t="shared" si="1"/>
        <v>7667.6072234762978</v>
      </c>
      <c r="F41" s="102">
        <f t="shared" si="2"/>
        <v>21146.773890142962</v>
      </c>
      <c r="G41" s="121">
        <f t="shared" si="3"/>
        <v>2.2096461386831148E-2</v>
      </c>
    </row>
    <row r="42" spans="1:7" ht="16">
      <c r="A42" s="138" t="s">
        <v>62</v>
      </c>
      <c r="B42" s="157">
        <v>24</v>
      </c>
      <c r="C42" s="118">
        <v>1</v>
      </c>
      <c r="D42" s="111">
        <f t="shared" si="0"/>
        <v>13479.166666666666</v>
      </c>
      <c r="E42" s="31">
        <f t="shared" si="1"/>
        <v>6572.2347629796841</v>
      </c>
      <c r="F42" s="102">
        <f t="shared" si="2"/>
        <v>20051.40142964635</v>
      </c>
      <c r="G42" s="121">
        <f t="shared" si="3"/>
        <v>2.0951896480462921E-2</v>
      </c>
    </row>
    <row r="43" spans="1:7" ht="16">
      <c r="A43" s="138" t="s">
        <v>32</v>
      </c>
      <c r="B43" s="157">
        <v>30</v>
      </c>
      <c r="C43" s="118">
        <v>1</v>
      </c>
      <c r="D43" s="111">
        <f t="shared" si="0"/>
        <v>13479.166666666666</v>
      </c>
      <c r="E43" s="31">
        <f t="shared" si="1"/>
        <v>8215.2934537246056</v>
      </c>
      <c r="F43" s="104">
        <f t="shared" si="2"/>
        <v>21694.460120391272</v>
      </c>
      <c r="G43" s="121">
        <f t="shared" si="3"/>
        <v>2.2668743840015267E-2</v>
      </c>
    </row>
    <row r="44" spans="1:7" ht="16">
      <c r="A44" s="134" t="s">
        <v>58</v>
      </c>
      <c r="B44" s="156">
        <v>21</v>
      </c>
      <c r="C44" s="117">
        <v>1</v>
      </c>
      <c r="D44" s="111">
        <f t="shared" si="0"/>
        <v>13479.166666666666</v>
      </c>
      <c r="E44" s="31">
        <f t="shared" si="1"/>
        <v>5750.7054176072234</v>
      </c>
      <c r="F44" s="102">
        <f t="shared" si="2"/>
        <v>19229.872084273891</v>
      </c>
      <c r="G44" s="121">
        <f t="shared" si="3"/>
        <v>2.0093472800686747E-2</v>
      </c>
    </row>
    <row r="45" spans="1:7" ht="16">
      <c r="A45" s="134" t="s">
        <v>75</v>
      </c>
      <c r="B45" s="156">
        <v>76</v>
      </c>
      <c r="C45" s="117">
        <v>1</v>
      </c>
      <c r="D45" s="111">
        <f t="shared" si="0"/>
        <v>13479.166666666666</v>
      </c>
      <c r="E45" s="31">
        <f t="shared" si="1"/>
        <v>20812.076749435666</v>
      </c>
      <c r="F45" s="102">
        <f t="shared" si="2"/>
        <v>34291.243416102334</v>
      </c>
      <c r="G45" s="121">
        <f t="shared" si="3"/>
        <v>3.5831240263249943E-2</v>
      </c>
    </row>
    <row r="46" spans="1:7" ht="16">
      <c r="A46" s="138" t="s">
        <v>76</v>
      </c>
      <c r="B46" s="158">
        <v>2</v>
      </c>
      <c r="C46" s="115">
        <v>1</v>
      </c>
      <c r="D46" s="111">
        <f t="shared" si="0"/>
        <v>13479.166666666666</v>
      </c>
      <c r="E46" s="31">
        <f t="shared" si="1"/>
        <v>547.68623024830697</v>
      </c>
      <c r="F46" s="102">
        <f t="shared" si="2"/>
        <v>14026.852896914974</v>
      </c>
      <c r="G46" s="121">
        <f t="shared" si="3"/>
        <v>1.4656789495437642E-2</v>
      </c>
    </row>
    <row r="47" spans="1:7" ht="16">
      <c r="A47" s="134" t="s">
        <v>77</v>
      </c>
      <c r="B47" s="172">
        <v>0</v>
      </c>
      <c r="C47" s="173">
        <v>0</v>
      </c>
      <c r="D47" s="111">
        <f t="shared" si="0"/>
        <v>0</v>
      </c>
      <c r="E47" s="31">
        <f t="shared" si="1"/>
        <v>0</v>
      </c>
      <c r="F47" s="102">
        <f t="shared" si="2"/>
        <v>0</v>
      </c>
      <c r="G47" s="121">
        <f t="shared" si="3"/>
        <v>0</v>
      </c>
    </row>
    <row r="48" spans="1:7" ht="16">
      <c r="A48" s="138" t="s">
        <v>65</v>
      </c>
      <c r="B48" s="158">
        <v>21</v>
      </c>
      <c r="C48" s="115">
        <v>1</v>
      </c>
      <c r="D48" s="111">
        <f t="shared" si="0"/>
        <v>13479.166666666666</v>
      </c>
      <c r="E48" s="31">
        <f t="shared" si="1"/>
        <v>5750.7054176072234</v>
      </c>
      <c r="F48" s="102">
        <f t="shared" si="2"/>
        <v>19229.872084273891</v>
      </c>
      <c r="G48" s="121">
        <f t="shared" si="3"/>
        <v>2.0093472800686747E-2</v>
      </c>
    </row>
    <row r="49" spans="1:7" ht="16">
      <c r="A49" s="139" t="s">
        <v>53</v>
      </c>
      <c r="B49" s="158">
        <v>13</v>
      </c>
      <c r="C49" s="115">
        <v>1</v>
      </c>
      <c r="D49" s="111">
        <f t="shared" si="0"/>
        <v>13479.166666666666</v>
      </c>
      <c r="E49" s="31">
        <f t="shared" si="1"/>
        <v>3559.9604966139955</v>
      </c>
      <c r="F49" s="102">
        <f t="shared" si="2"/>
        <v>17039.12716328066</v>
      </c>
      <c r="G49" s="121">
        <f t="shared" si="3"/>
        <v>1.7804342987950278E-2</v>
      </c>
    </row>
    <row r="50" spans="1:7" ht="16">
      <c r="A50" s="138" t="s">
        <v>56</v>
      </c>
      <c r="B50" s="158">
        <v>4</v>
      </c>
      <c r="C50" s="115">
        <v>1</v>
      </c>
      <c r="D50" s="111">
        <f t="shared" si="0"/>
        <v>13479.166666666666</v>
      </c>
      <c r="E50" s="31">
        <f t="shared" si="1"/>
        <v>1095.3724604966139</v>
      </c>
      <c r="F50" s="102">
        <f t="shared" si="2"/>
        <v>14574.53912716328</v>
      </c>
      <c r="G50" s="121">
        <f t="shared" si="3"/>
        <v>1.5229071948621758E-2</v>
      </c>
    </row>
    <row r="51" spans="1:7" ht="16">
      <c r="A51" s="134" t="s">
        <v>59</v>
      </c>
      <c r="B51" s="172">
        <v>0</v>
      </c>
      <c r="C51" s="174">
        <v>0</v>
      </c>
      <c r="D51" s="111">
        <f t="shared" si="0"/>
        <v>0</v>
      </c>
      <c r="E51" s="31">
        <f t="shared" si="1"/>
        <v>0</v>
      </c>
      <c r="F51" s="102">
        <f t="shared" si="2"/>
        <v>0</v>
      </c>
      <c r="G51" s="121">
        <f t="shared" si="3"/>
        <v>0</v>
      </c>
    </row>
    <row r="52" spans="1:7" ht="16">
      <c r="A52" s="134" t="s">
        <v>72</v>
      </c>
      <c r="B52" s="172">
        <v>0</v>
      </c>
      <c r="C52" s="173">
        <v>0</v>
      </c>
      <c r="D52" s="111">
        <f t="shared" si="0"/>
        <v>0</v>
      </c>
      <c r="E52" s="31">
        <f t="shared" si="1"/>
        <v>0</v>
      </c>
      <c r="F52" s="102">
        <f t="shared" si="2"/>
        <v>0</v>
      </c>
      <c r="G52" s="121">
        <f t="shared" si="3"/>
        <v>0</v>
      </c>
    </row>
    <row r="53" spans="1:7" ht="16">
      <c r="A53" s="124" t="s">
        <v>35</v>
      </c>
      <c r="B53" s="158">
        <v>3</v>
      </c>
      <c r="C53" s="117">
        <v>1</v>
      </c>
      <c r="D53" s="111">
        <f t="shared" si="0"/>
        <v>13479.166666666666</v>
      </c>
      <c r="E53" s="31">
        <f t="shared" si="1"/>
        <v>821.52934537246051</v>
      </c>
      <c r="F53" s="102">
        <f t="shared" si="2"/>
        <v>14300.696012039127</v>
      </c>
      <c r="G53" s="121">
        <f t="shared" si="3"/>
        <v>1.49429307220297E-2</v>
      </c>
    </row>
    <row r="54" spans="1:7" ht="16">
      <c r="A54" s="134" t="s">
        <v>78</v>
      </c>
      <c r="B54" s="155">
        <v>3</v>
      </c>
      <c r="C54" s="117">
        <v>1</v>
      </c>
      <c r="D54" s="111">
        <f t="shared" si="0"/>
        <v>13479.166666666666</v>
      </c>
      <c r="E54" s="31">
        <f t="shared" si="1"/>
        <v>821.52934537246051</v>
      </c>
      <c r="F54" s="102">
        <f t="shared" si="2"/>
        <v>14300.696012039127</v>
      </c>
      <c r="G54" s="121">
        <f t="shared" si="3"/>
        <v>1.49429307220297E-2</v>
      </c>
    </row>
    <row r="55" spans="1:7" ht="16">
      <c r="A55" s="134" t="s">
        <v>116</v>
      </c>
      <c r="B55" s="175">
        <v>0</v>
      </c>
      <c r="C55" s="176">
        <v>0</v>
      </c>
      <c r="D55" s="111">
        <f t="shared" si="0"/>
        <v>0</v>
      </c>
      <c r="E55" s="31">
        <f t="shared" si="1"/>
        <v>0</v>
      </c>
      <c r="F55" s="102">
        <f t="shared" si="2"/>
        <v>0</v>
      </c>
      <c r="G55" s="121">
        <f t="shared" si="3"/>
        <v>0</v>
      </c>
    </row>
    <row r="56" spans="1:7" ht="16">
      <c r="A56" s="134" t="s">
        <v>117</v>
      </c>
      <c r="B56" s="175">
        <v>0</v>
      </c>
      <c r="C56" s="176">
        <v>0</v>
      </c>
      <c r="D56" s="111">
        <f t="shared" si="0"/>
        <v>0</v>
      </c>
      <c r="E56" s="31">
        <f t="shared" si="1"/>
        <v>0</v>
      </c>
      <c r="F56" s="102">
        <f t="shared" si="2"/>
        <v>0</v>
      </c>
      <c r="G56" s="121">
        <f t="shared" si="3"/>
        <v>0</v>
      </c>
    </row>
    <row r="57" spans="1:7" ht="17" thickBot="1">
      <c r="A57" s="196" t="s">
        <v>137</v>
      </c>
      <c r="B57" s="197">
        <v>0</v>
      </c>
      <c r="C57" s="198">
        <v>1</v>
      </c>
      <c r="D57" s="199">
        <f t="shared" si="0"/>
        <v>13479.166666666666</v>
      </c>
      <c r="E57" s="200">
        <f t="shared" si="1"/>
        <v>0</v>
      </c>
      <c r="F57" s="201">
        <f t="shared" si="2"/>
        <v>13479.166666666666</v>
      </c>
      <c r="G57" s="202">
        <f t="shared" si="3"/>
        <v>1.4084507042253525E-2</v>
      </c>
    </row>
    <row r="58" spans="1:7" ht="17" thickBot="1">
      <c r="A58" s="61"/>
      <c r="B58" s="127"/>
      <c r="C58" s="60"/>
      <c r="D58" s="57"/>
      <c r="E58" s="57"/>
      <c r="F58" s="91"/>
    </row>
    <row r="59" spans="1:7" ht="17" thickBot="1">
      <c r="A59" s="54" t="s">
        <v>36</v>
      </c>
      <c r="B59" s="128">
        <f>SUM(B17:B56)</f>
        <v>1772</v>
      </c>
      <c r="C59" s="119">
        <f>SUM(C17:C57)</f>
        <v>36</v>
      </c>
      <c r="D59" s="31">
        <f>SUM(D17:D56)</f>
        <v>471770.83333333355</v>
      </c>
      <c r="E59" s="31">
        <f>SUM(E17:E56)</f>
        <v>485249.99999999988</v>
      </c>
      <c r="F59" s="120">
        <f>SUM(F17:F56)</f>
        <v>957020.83333333302</v>
      </c>
      <c r="G59" s="98">
        <f t="shared" ref="G59" si="4">SUM(G17:G54)</f>
        <v>1.0000000000000007</v>
      </c>
    </row>
    <row r="60" spans="1:7" ht="16">
      <c r="B60" s="60"/>
      <c r="C60" s="60"/>
      <c r="D60" s="31">
        <f>F10*D15</f>
        <v>485250</v>
      </c>
      <c r="E60" s="31">
        <f>F10*E15</f>
        <v>485250</v>
      </c>
      <c r="F60" s="31"/>
      <c r="G60"/>
    </row>
    <row r="61" spans="1:7" ht="16">
      <c r="A61" s="61"/>
      <c r="B61" s="92"/>
      <c r="C61" s="92"/>
      <c r="D61" s="63"/>
      <c r="E61" s="109">
        <f>E59+D59</f>
        <v>957020.83333333349</v>
      </c>
      <c r="F61" s="63"/>
      <c r="G61"/>
    </row>
    <row r="62" spans="1:7" ht="13.5" customHeight="1">
      <c r="A62" s="153" t="s">
        <v>138</v>
      </c>
      <c r="D62" s="65"/>
      <c r="E62" s="65"/>
      <c r="F62" s="65"/>
      <c r="G62"/>
    </row>
    <row r="63" spans="1:7">
      <c r="A63" s="5" t="s">
        <v>139</v>
      </c>
      <c r="D63" s="68"/>
      <c r="E63" s="68"/>
      <c r="F63" s="68"/>
      <c r="G63"/>
    </row>
  </sheetData>
  <autoFilter ref="A16:G16" xr:uid="{00000000-0009-0000-0000-00000B000000}">
    <sortState ref="A17:G53">
      <sortCondition descending="1" ref="F16"/>
    </sortState>
  </autoFilter>
  <mergeCells count="3">
    <mergeCell ref="A1:F3"/>
    <mergeCell ref="B7:F7"/>
    <mergeCell ref="D14:F14"/>
  </mergeCells>
  <pageMargins left="0.7" right="0.7" top="0.78740157499999996" bottom="0.78740157499999996" header="0.3" footer="0.3"/>
  <pageSetup paperSize="9" scale="60" orientation="portrait" horizontalDpi="300" verticalDpi="300"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65"/>
  <sheetViews>
    <sheetView topLeftCell="A2" zoomScale="80" zoomScaleNormal="80" workbookViewId="0">
      <selection activeCell="O23" sqref="O23"/>
    </sheetView>
  </sheetViews>
  <sheetFormatPr baseColWidth="10" defaultColWidth="8.83203125" defaultRowHeight="15"/>
  <cols>
    <col min="1" max="1" width="45.5" customWidth="1"/>
    <col min="2" max="2" width="21.6640625" style="2" customWidth="1"/>
    <col min="3" max="3" width="10.33203125" style="2" customWidth="1"/>
    <col min="4" max="4" width="15" customWidth="1"/>
    <col min="5" max="5" width="18.83203125" customWidth="1"/>
    <col min="6" max="6" width="13.83203125" bestFit="1" customWidth="1"/>
    <col min="7" max="7" width="8.5" style="94" bestFit="1" customWidth="1"/>
    <col min="8" max="8" width="10.33203125" customWidth="1"/>
  </cols>
  <sheetData>
    <row r="1" spans="1:7" ht="18.75" customHeight="1">
      <c r="A1" s="266" t="s">
        <v>141</v>
      </c>
      <c r="B1" s="266"/>
      <c r="C1" s="266"/>
      <c r="D1" s="266"/>
      <c r="E1" s="266"/>
      <c r="F1" s="266"/>
    </row>
    <row r="2" spans="1:7" ht="18.75" customHeight="1">
      <c r="A2" s="266"/>
      <c r="B2" s="266"/>
      <c r="C2" s="266"/>
      <c r="D2" s="266"/>
      <c r="E2" s="266"/>
      <c r="F2" s="266"/>
    </row>
    <row r="3" spans="1:7" ht="18.75" customHeight="1">
      <c r="A3" s="266"/>
      <c r="B3" s="266"/>
      <c r="C3" s="266"/>
      <c r="D3" s="266"/>
      <c r="E3" s="266"/>
      <c r="F3" s="266"/>
    </row>
    <row r="4" spans="1:7" ht="16">
      <c r="A4" s="3" t="s">
        <v>142</v>
      </c>
    </row>
    <row r="5" spans="1:7" ht="16">
      <c r="A5" s="4" t="s">
        <v>71</v>
      </c>
    </row>
    <row r="6" spans="1:7" ht="16.5" customHeight="1">
      <c r="A6" s="5"/>
    </row>
    <row r="7" spans="1:7">
      <c r="A7" s="5"/>
    </row>
    <row r="8" spans="1:7" ht="105.75" customHeight="1" thickBot="1">
      <c r="A8" s="126" t="s">
        <v>79</v>
      </c>
    </row>
    <row r="9" spans="1:7" ht="17" thickBot="1">
      <c r="B9" s="267" t="s">
        <v>54</v>
      </c>
      <c r="C9" s="268"/>
      <c r="D9" s="268"/>
      <c r="E9" s="268"/>
      <c r="F9" s="269"/>
    </row>
    <row r="10" spans="1:7" ht="17" thickBot="1">
      <c r="B10" s="161" t="s">
        <v>143</v>
      </c>
      <c r="C10" s="162"/>
      <c r="D10" s="162"/>
      <c r="E10" s="162"/>
      <c r="F10" s="93">
        <v>1236000</v>
      </c>
    </row>
    <row r="11" spans="1:7" ht="16" thickBot="1">
      <c r="B11" s="163"/>
    </row>
    <row r="12" spans="1:7" ht="16.5" customHeight="1" thickBot="1">
      <c r="B12" s="164" t="s">
        <v>144</v>
      </c>
      <c r="C12" s="105"/>
      <c r="D12" s="105"/>
      <c r="E12" s="106"/>
      <c r="F12" s="165">
        <f>SUM(F10,-F13)</f>
        <v>636000</v>
      </c>
    </row>
    <row r="13" spans="1:7" ht="16.5" customHeight="1" thickBot="1">
      <c r="A13" s="99"/>
      <c r="B13" s="164" t="s">
        <v>145</v>
      </c>
      <c r="C13" s="166"/>
      <c r="D13" s="166"/>
      <c r="E13" s="166"/>
      <c r="F13" s="165">
        <v>600000</v>
      </c>
    </row>
    <row r="14" spans="1:7" ht="16.5" customHeight="1">
      <c r="A14" s="99"/>
      <c r="B14" s="99"/>
      <c r="C14" s="99"/>
      <c r="D14" s="100"/>
    </row>
    <row r="15" spans="1:7" s="11" customFormat="1" ht="16.5" customHeight="1" thickBot="1">
      <c r="A15" s="9"/>
      <c r="B15" s="10"/>
      <c r="C15" s="10"/>
      <c r="E15" s="12"/>
      <c r="F15" s="13"/>
      <c r="G15" s="95"/>
    </row>
    <row r="16" spans="1:7" s="9" customFormat="1" ht="65.25" customHeight="1" thickBot="1">
      <c r="B16" s="206" t="s">
        <v>146</v>
      </c>
      <c r="C16" s="206" t="s">
        <v>68</v>
      </c>
      <c r="D16" s="261" t="s">
        <v>147</v>
      </c>
      <c r="E16" s="262"/>
      <c r="F16" s="263"/>
      <c r="G16" s="96"/>
    </row>
    <row r="17" spans="1:7" s="20" customFormat="1" ht="17" thickBot="1">
      <c r="B17" s="107"/>
      <c r="C17" s="206"/>
      <c r="D17" s="17">
        <v>0.5</v>
      </c>
      <c r="E17" s="18">
        <f>1-D17</f>
        <v>0.5</v>
      </c>
      <c r="F17" s="108"/>
      <c r="G17" s="97"/>
    </row>
    <row r="18" spans="1:7" s="20" customFormat="1" ht="17" thickBot="1">
      <c r="A18" s="112" t="s">
        <v>66</v>
      </c>
      <c r="B18" s="107">
        <v>2016</v>
      </c>
      <c r="C18" s="206"/>
      <c r="D18" s="17" t="s">
        <v>4</v>
      </c>
      <c r="E18" s="18" t="s">
        <v>5</v>
      </c>
      <c r="F18" s="108" t="s">
        <v>6</v>
      </c>
      <c r="G18" s="113" t="s">
        <v>67</v>
      </c>
    </row>
    <row r="19" spans="1:7" ht="16">
      <c r="A19" s="135" t="s">
        <v>7</v>
      </c>
      <c r="B19" s="154">
        <v>56</v>
      </c>
      <c r="C19" s="118">
        <v>1</v>
      </c>
      <c r="D19" s="111">
        <f t="shared" ref="D19:D59" si="0">$F$12*$D$17/$C$61*C19</f>
        <v>9085.7142857142862</v>
      </c>
      <c r="E19" s="31">
        <f t="shared" ref="E19:E59" si="1">$F$12*$E$17*B19/$B$61</f>
        <v>10089.518413597734</v>
      </c>
      <c r="F19" s="210">
        <f t="shared" ref="F19:F59" si="2">(D19+E19)</f>
        <v>19175.232699312022</v>
      </c>
      <c r="G19" s="121">
        <f t="shared" ref="G19:G59" si="3">F19/$F$61</f>
        <v>3.014973694860381E-2</v>
      </c>
    </row>
    <row r="20" spans="1:7" ht="16.5" customHeight="1">
      <c r="A20" s="134" t="s">
        <v>11</v>
      </c>
      <c r="B20" s="155">
        <v>83</v>
      </c>
      <c r="C20" s="116">
        <v>1</v>
      </c>
      <c r="D20" s="111">
        <f t="shared" si="0"/>
        <v>9085.7142857142862</v>
      </c>
      <c r="E20" s="31">
        <f t="shared" si="1"/>
        <v>14954.107648725212</v>
      </c>
      <c r="F20" s="210">
        <f t="shared" si="2"/>
        <v>24039.821934439497</v>
      </c>
      <c r="G20" s="121">
        <f t="shared" si="3"/>
        <v>3.7798462161068393E-2</v>
      </c>
    </row>
    <row r="21" spans="1:7" ht="16">
      <c r="A21" s="136" t="s">
        <v>12</v>
      </c>
      <c r="B21" s="155">
        <v>58</v>
      </c>
      <c r="C21" s="116">
        <v>1</v>
      </c>
      <c r="D21" s="111">
        <f t="shared" si="0"/>
        <v>9085.7142857142862</v>
      </c>
      <c r="E21" s="31">
        <f t="shared" si="1"/>
        <v>10449.858356940509</v>
      </c>
      <c r="F21" s="210">
        <f t="shared" si="2"/>
        <v>19535.572642654795</v>
      </c>
      <c r="G21" s="121">
        <f t="shared" si="3"/>
        <v>3.0716309186564143E-2</v>
      </c>
    </row>
    <row r="22" spans="1:7" ht="16">
      <c r="A22" s="136" t="s">
        <v>57</v>
      </c>
      <c r="B22" s="155">
        <v>149</v>
      </c>
      <c r="C22" s="116">
        <v>1</v>
      </c>
      <c r="D22" s="111">
        <f t="shared" si="0"/>
        <v>9085.7142857142862</v>
      </c>
      <c r="E22" s="31">
        <f t="shared" si="1"/>
        <v>26845.325779036826</v>
      </c>
      <c r="F22" s="210">
        <f t="shared" si="2"/>
        <v>35931.040064751112</v>
      </c>
      <c r="G22" s="121">
        <f t="shared" si="3"/>
        <v>5.6495346013759613E-2</v>
      </c>
    </row>
    <row r="23" spans="1:7" ht="16">
      <c r="A23" s="134" t="s">
        <v>8</v>
      </c>
      <c r="B23" s="155">
        <v>85</v>
      </c>
      <c r="C23" s="116">
        <v>1</v>
      </c>
      <c r="D23" s="111">
        <f t="shared" si="0"/>
        <v>9085.7142857142862</v>
      </c>
      <c r="E23" s="31">
        <f t="shared" si="1"/>
        <v>15314.447592067989</v>
      </c>
      <c r="F23" s="210">
        <f t="shared" si="2"/>
        <v>24400.161877782273</v>
      </c>
      <c r="G23" s="121">
        <f t="shared" si="3"/>
        <v>3.8365034399028733E-2</v>
      </c>
    </row>
    <row r="24" spans="1:7" ht="16.5" customHeight="1">
      <c r="A24" s="134" t="s">
        <v>69</v>
      </c>
      <c r="B24" s="155">
        <v>81</v>
      </c>
      <c r="C24" s="116">
        <v>1</v>
      </c>
      <c r="D24" s="111">
        <f t="shared" si="0"/>
        <v>9085.7142857142862</v>
      </c>
      <c r="E24" s="31">
        <f t="shared" si="1"/>
        <v>14593.767705382435</v>
      </c>
      <c r="F24" s="210">
        <f t="shared" si="2"/>
        <v>23679.48199109672</v>
      </c>
      <c r="G24" s="121">
        <f t="shared" si="3"/>
        <v>3.7231889923108052E-2</v>
      </c>
    </row>
    <row r="25" spans="1:7" ht="16.5" customHeight="1">
      <c r="A25" s="134" t="s">
        <v>13</v>
      </c>
      <c r="B25" s="155">
        <v>66</v>
      </c>
      <c r="C25" s="116">
        <v>1</v>
      </c>
      <c r="D25" s="111">
        <f t="shared" si="0"/>
        <v>9085.7142857142862</v>
      </c>
      <c r="E25" s="31">
        <f t="shared" si="1"/>
        <v>11891.218130311614</v>
      </c>
      <c r="F25" s="210">
        <f t="shared" si="2"/>
        <v>20976.932416025898</v>
      </c>
      <c r="G25" s="121">
        <f t="shared" si="3"/>
        <v>3.2982598138405497E-2</v>
      </c>
    </row>
    <row r="26" spans="1:7" ht="16">
      <c r="A26" s="134" t="s">
        <v>60</v>
      </c>
      <c r="B26" s="155">
        <v>45</v>
      </c>
      <c r="C26" s="116">
        <v>1</v>
      </c>
      <c r="D26" s="111">
        <f t="shared" si="0"/>
        <v>9085.7142857142862</v>
      </c>
      <c r="E26" s="31">
        <f t="shared" si="1"/>
        <v>8107.6487252124643</v>
      </c>
      <c r="F26" s="210">
        <f t="shared" si="2"/>
        <v>17193.363010926751</v>
      </c>
      <c r="G26" s="121">
        <f t="shared" si="3"/>
        <v>2.7033589639821935E-2</v>
      </c>
    </row>
    <row r="27" spans="1:7" ht="16">
      <c r="A27" s="136" t="s">
        <v>10</v>
      </c>
      <c r="B27" s="155">
        <v>105</v>
      </c>
      <c r="C27" s="116">
        <v>1</v>
      </c>
      <c r="D27" s="111">
        <f t="shared" si="0"/>
        <v>9085.7142857142862</v>
      </c>
      <c r="E27" s="31">
        <f t="shared" si="1"/>
        <v>18917.84702549575</v>
      </c>
      <c r="F27" s="210">
        <f t="shared" si="2"/>
        <v>28003.561311210036</v>
      </c>
      <c r="G27" s="121">
        <f t="shared" si="3"/>
        <v>4.4030756778632135E-2</v>
      </c>
    </row>
    <row r="28" spans="1:7" ht="16">
      <c r="A28" s="134" t="s">
        <v>21</v>
      </c>
      <c r="B28" s="155">
        <v>28</v>
      </c>
      <c r="C28" s="116">
        <v>1</v>
      </c>
      <c r="D28" s="111">
        <f t="shared" si="0"/>
        <v>9085.7142857142862</v>
      </c>
      <c r="E28" s="31">
        <f t="shared" si="1"/>
        <v>5044.7592067988671</v>
      </c>
      <c r="F28" s="210">
        <f t="shared" si="2"/>
        <v>14130.473492513152</v>
      </c>
      <c r="G28" s="121">
        <f t="shared" si="3"/>
        <v>2.2217725617159043E-2</v>
      </c>
    </row>
    <row r="29" spans="1:7" ht="16">
      <c r="A29" s="134" t="s">
        <v>28</v>
      </c>
      <c r="B29" s="155">
        <v>57</v>
      </c>
      <c r="C29" s="116">
        <v>1</v>
      </c>
      <c r="D29" s="111">
        <f t="shared" si="0"/>
        <v>9085.7142857142862</v>
      </c>
      <c r="E29" s="31">
        <f t="shared" si="1"/>
        <v>10269.688385269123</v>
      </c>
      <c r="F29" s="210">
        <f t="shared" si="2"/>
        <v>19355.402670983407</v>
      </c>
      <c r="G29" s="121">
        <f t="shared" si="3"/>
        <v>3.0433023067583973E-2</v>
      </c>
    </row>
    <row r="30" spans="1:7" ht="16">
      <c r="A30" s="136" t="s">
        <v>61</v>
      </c>
      <c r="B30" s="155">
        <v>56</v>
      </c>
      <c r="C30" s="116">
        <v>1</v>
      </c>
      <c r="D30" s="111">
        <f t="shared" si="0"/>
        <v>9085.7142857142862</v>
      </c>
      <c r="E30" s="31">
        <f t="shared" si="1"/>
        <v>10089.518413597734</v>
      </c>
      <c r="F30" s="210">
        <f t="shared" si="2"/>
        <v>19175.232699312022</v>
      </c>
      <c r="G30" s="121">
        <f t="shared" si="3"/>
        <v>3.014973694860381E-2</v>
      </c>
    </row>
    <row r="31" spans="1:7" ht="16">
      <c r="A31" s="136" t="s">
        <v>24</v>
      </c>
      <c r="B31" s="155">
        <v>53</v>
      </c>
      <c r="C31" s="116">
        <v>1</v>
      </c>
      <c r="D31" s="111">
        <f t="shared" si="0"/>
        <v>9085.7142857142862</v>
      </c>
      <c r="E31" s="31">
        <f t="shared" si="1"/>
        <v>9549.0084985835692</v>
      </c>
      <c r="F31" s="210">
        <f t="shared" si="2"/>
        <v>18634.722784297854</v>
      </c>
      <c r="G31" s="121">
        <f t="shared" si="3"/>
        <v>2.9299878591663293E-2</v>
      </c>
    </row>
    <row r="32" spans="1:7" ht="16">
      <c r="A32" s="134" t="s">
        <v>20</v>
      </c>
      <c r="B32" s="155">
        <v>26</v>
      </c>
      <c r="C32" s="116">
        <v>1</v>
      </c>
      <c r="D32" s="111">
        <f t="shared" si="0"/>
        <v>9085.7142857142862</v>
      </c>
      <c r="E32" s="31">
        <f t="shared" si="1"/>
        <v>4684.4192634560904</v>
      </c>
      <c r="F32" s="210">
        <f t="shared" si="2"/>
        <v>13770.133549170376</v>
      </c>
      <c r="G32" s="121">
        <f t="shared" si="3"/>
        <v>2.1651153379198703E-2</v>
      </c>
    </row>
    <row r="33" spans="1:7" ht="16">
      <c r="A33" s="134" t="s">
        <v>25</v>
      </c>
      <c r="B33" s="155">
        <v>32</v>
      </c>
      <c r="C33" s="116">
        <v>1</v>
      </c>
      <c r="D33" s="111">
        <f t="shared" si="0"/>
        <v>9085.7142857142862</v>
      </c>
      <c r="E33" s="31">
        <f t="shared" si="1"/>
        <v>5765.4390934844196</v>
      </c>
      <c r="F33" s="210">
        <f t="shared" si="2"/>
        <v>14851.153379198706</v>
      </c>
      <c r="G33" s="121">
        <f t="shared" si="3"/>
        <v>2.3350870093079727E-2</v>
      </c>
    </row>
    <row r="34" spans="1:7" ht="16">
      <c r="A34" s="136" t="s">
        <v>74</v>
      </c>
      <c r="B34" s="155">
        <v>48</v>
      </c>
      <c r="C34" s="116">
        <v>1</v>
      </c>
      <c r="D34" s="111">
        <f t="shared" si="0"/>
        <v>9085.7142857142862</v>
      </c>
      <c r="E34" s="31">
        <f t="shared" si="1"/>
        <v>8648.1586402266294</v>
      </c>
      <c r="F34" s="210">
        <f t="shared" si="2"/>
        <v>17733.872925940916</v>
      </c>
      <c r="G34" s="121">
        <f t="shared" si="3"/>
        <v>2.7883447996762446E-2</v>
      </c>
    </row>
    <row r="35" spans="1:7" ht="16">
      <c r="A35" s="134" t="s">
        <v>73</v>
      </c>
      <c r="B35" s="155">
        <v>159</v>
      </c>
      <c r="C35" s="116">
        <v>1</v>
      </c>
      <c r="D35" s="111">
        <f t="shared" si="0"/>
        <v>9085.7142857142862</v>
      </c>
      <c r="E35" s="31">
        <f t="shared" si="1"/>
        <v>28647.02549575071</v>
      </c>
      <c r="F35" s="210">
        <f t="shared" si="2"/>
        <v>37732.739781464996</v>
      </c>
      <c r="G35" s="121">
        <f t="shared" si="3"/>
        <v>5.9328207203561314E-2</v>
      </c>
    </row>
    <row r="36" spans="1:7" ht="16">
      <c r="A36" s="134" t="s">
        <v>23</v>
      </c>
      <c r="B36" s="155">
        <v>33</v>
      </c>
      <c r="C36" s="116">
        <v>1</v>
      </c>
      <c r="D36" s="111">
        <f t="shared" si="0"/>
        <v>9085.7142857142862</v>
      </c>
      <c r="E36" s="31">
        <f t="shared" si="1"/>
        <v>5945.609065155807</v>
      </c>
      <c r="F36" s="210">
        <f t="shared" si="2"/>
        <v>15031.323350870094</v>
      </c>
      <c r="G36" s="121">
        <f t="shared" si="3"/>
        <v>2.3634156212059897E-2</v>
      </c>
    </row>
    <row r="37" spans="1:7" ht="16">
      <c r="A37" s="137" t="s">
        <v>27</v>
      </c>
      <c r="B37" s="155">
        <v>56</v>
      </c>
      <c r="C37" s="116">
        <v>1</v>
      </c>
      <c r="D37" s="111">
        <f t="shared" si="0"/>
        <v>9085.7142857142862</v>
      </c>
      <c r="E37" s="31">
        <f t="shared" si="1"/>
        <v>10089.518413597734</v>
      </c>
      <c r="F37" s="210">
        <f t="shared" si="2"/>
        <v>19175.232699312022</v>
      </c>
      <c r="G37" s="121">
        <f t="shared" si="3"/>
        <v>3.014973694860381E-2</v>
      </c>
    </row>
    <row r="38" spans="1:7" ht="16">
      <c r="A38" s="134" t="s">
        <v>33</v>
      </c>
      <c r="B38" s="155">
        <v>50</v>
      </c>
      <c r="C38" s="116">
        <v>1</v>
      </c>
      <c r="D38" s="111">
        <f t="shared" si="0"/>
        <v>9085.7142857142862</v>
      </c>
      <c r="E38" s="31">
        <f t="shared" si="1"/>
        <v>9008.4985835694042</v>
      </c>
      <c r="F38" s="211">
        <f t="shared" si="2"/>
        <v>18094.212869283692</v>
      </c>
      <c r="G38" s="121">
        <f t="shared" si="3"/>
        <v>2.8450020234722786E-2</v>
      </c>
    </row>
    <row r="39" spans="1:7" ht="16">
      <c r="A39" s="134" t="s">
        <v>64</v>
      </c>
      <c r="B39" s="155">
        <v>101</v>
      </c>
      <c r="C39" s="116">
        <v>1</v>
      </c>
      <c r="D39" s="111">
        <f t="shared" si="0"/>
        <v>9085.7142857142862</v>
      </c>
      <c r="E39" s="31">
        <f t="shared" si="1"/>
        <v>18197.167138810197</v>
      </c>
      <c r="F39" s="210">
        <f t="shared" si="2"/>
        <v>27282.881424524483</v>
      </c>
      <c r="G39" s="121">
        <f t="shared" si="3"/>
        <v>4.2897612302711448E-2</v>
      </c>
    </row>
    <row r="40" spans="1:7" ht="16">
      <c r="A40" s="134" t="s">
        <v>16</v>
      </c>
      <c r="B40" s="155">
        <v>44</v>
      </c>
      <c r="C40" s="116">
        <v>1</v>
      </c>
      <c r="D40" s="111">
        <f t="shared" si="0"/>
        <v>9085.7142857142862</v>
      </c>
      <c r="E40" s="31">
        <f t="shared" si="1"/>
        <v>7927.4787535410769</v>
      </c>
      <c r="F40" s="210">
        <f t="shared" si="2"/>
        <v>17013.193039255362</v>
      </c>
      <c r="G40" s="121">
        <f t="shared" si="3"/>
        <v>2.6750303520841765E-2</v>
      </c>
    </row>
    <row r="41" spans="1:7" ht="16">
      <c r="A41" s="134" t="s">
        <v>63</v>
      </c>
      <c r="B41" s="155">
        <v>53</v>
      </c>
      <c r="C41" s="116">
        <v>1</v>
      </c>
      <c r="D41" s="111">
        <f t="shared" si="0"/>
        <v>9085.7142857142862</v>
      </c>
      <c r="E41" s="31">
        <f t="shared" si="1"/>
        <v>9549.0084985835692</v>
      </c>
      <c r="F41" s="210">
        <f t="shared" si="2"/>
        <v>18634.722784297854</v>
      </c>
      <c r="G41" s="121">
        <f t="shared" si="3"/>
        <v>2.9299878591663293E-2</v>
      </c>
    </row>
    <row r="42" spans="1:7" ht="16">
      <c r="A42" s="134" t="s">
        <v>19</v>
      </c>
      <c r="B42" s="155">
        <v>41</v>
      </c>
      <c r="C42" s="116">
        <v>1</v>
      </c>
      <c r="D42" s="111">
        <f t="shared" si="0"/>
        <v>9085.7142857142862</v>
      </c>
      <c r="E42" s="31">
        <f t="shared" si="1"/>
        <v>7386.9688385269119</v>
      </c>
      <c r="F42" s="210">
        <f t="shared" si="2"/>
        <v>16472.683124241197</v>
      </c>
      <c r="G42" s="121">
        <f t="shared" si="3"/>
        <v>2.5900445163901255E-2</v>
      </c>
    </row>
    <row r="43" spans="1:7" ht="16">
      <c r="A43" s="134" t="s">
        <v>29</v>
      </c>
      <c r="B43" s="156">
        <v>24</v>
      </c>
      <c r="C43" s="117">
        <v>1</v>
      </c>
      <c r="D43" s="111">
        <f t="shared" si="0"/>
        <v>9085.7142857142862</v>
      </c>
      <c r="E43" s="31">
        <f t="shared" si="1"/>
        <v>4324.0793201133147</v>
      </c>
      <c r="F43" s="210">
        <f t="shared" si="2"/>
        <v>13409.793605827601</v>
      </c>
      <c r="G43" s="121">
        <f t="shared" si="3"/>
        <v>2.1084581141238366E-2</v>
      </c>
    </row>
    <row r="44" spans="1:7" ht="16">
      <c r="A44" s="138" t="s">
        <v>62</v>
      </c>
      <c r="B44" s="157">
        <v>21</v>
      </c>
      <c r="C44" s="118">
        <v>1</v>
      </c>
      <c r="D44" s="111">
        <f t="shared" si="0"/>
        <v>9085.7142857142862</v>
      </c>
      <c r="E44" s="31">
        <f t="shared" si="1"/>
        <v>3783.5694050991501</v>
      </c>
      <c r="F44" s="210">
        <f t="shared" si="2"/>
        <v>12869.283690813436</v>
      </c>
      <c r="G44" s="121">
        <f t="shared" si="3"/>
        <v>2.0234722784297856E-2</v>
      </c>
    </row>
    <row r="45" spans="1:7" ht="16">
      <c r="A45" s="138" t="s">
        <v>32</v>
      </c>
      <c r="B45" s="157">
        <v>33</v>
      </c>
      <c r="C45" s="118">
        <v>1</v>
      </c>
      <c r="D45" s="111">
        <f t="shared" si="0"/>
        <v>9085.7142857142862</v>
      </c>
      <c r="E45" s="31">
        <f t="shared" si="1"/>
        <v>5945.609065155807</v>
      </c>
      <c r="F45" s="212">
        <f t="shared" si="2"/>
        <v>15031.323350870094</v>
      </c>
      <c r="G45" s="121">
        <f t="shared" si="3"/>
        <v>2.3634156212059897E-2</v>
      </c>
    </row>
    <row r="46" spans="1:7" ht="16">
      <c r="A46" s="134" t="s">
        <v>58</v>
      </c>
      <c r="B46" s="156">
        <v>0</v>
      </c>
      <c r="C46" s="117">
        <v>0</v>
      </c>
      <c r="D46" s="111">
        <f t="shared" si="0"/>
        <v>0</v>
      </c>
      <c r="E46" s="31">
        <f t="shared" si="1"/>
        <v>0</v>
      </c>
      <c r="F46" s="210">
        <f t="shared" si="2"/>
        <v>0</v>
      </c>
      <c r="G46" s="121">
        <f t="shared" si="3"/>
        <v>0</v>
      </c>
    </row>
    <row r="47" spans="1:7" ht="16">
      <c r="A47" s="134" t="s">
        <v>75</v>
      </c>
      <c r="B47" s="156">
        <v>10</v>
      </c>
      <c r="C47" s="117">
        <v>1</v>
      </c>
      <c r="D47" s="111">
        <f t="shared" si="0"/>
        <v>9085.7142857142862</v>
      </c>
      <c r="E47" s="31">
        <f t="shared" si="1"/>
        <v>1801.6997167138811</v>
      </c>
      <c r="F47" s="210">
        <f t="shared" si="2"/>
        <v>10887.414002428168</v>
      </c>
      <c r="G47" s="121">
        <f t="shared" si="3"/>
        <v>1.7118575475515988E-2</v>
      </c>
    </row>
    <row r="48" spans="1:7" ht="16">
      <c r="A48" s="138" t="s">
        <v>76</v>
      </c>
      <c r="B48" s="158">
        <v>3</v>
      </c>
      <c r="C48" s="115">
        <v>1</v>
      </c>
      <c r="D48" s="111">
        <f t="shared" si="0"/>
        <v>9085.7142857142862</v>
      </c>
      <c r="E48" s="31">
        <f t="shared" si="1"/>
        <v>540.50991501416433</v>
      </c>
      <c r="F48" s="210">
        <f t="shared" si="2"/>
        <v>9626.2242007284513</v>
      </c>
      <c r="G48" s="121">
        <f t="shared" si="3"/>
        <v>1.5135572642654797E-2</v>
      </c>
    </row>
    <row r="49" spans="1:7" ht="16">
      <c r="A49" s="134" t="s">
        <v>77</v>
      </c>
      <c r="B49" s="158">
        <v>0</v>
      </c>
      <c r="C49" s="115">
        <v>0</v>
      </c>
      <c r="D49" s="111">
        <f t="shared" si="0"/>
        <v>0</v>
      </c>
      <c r="E49" s="31">
        <f t="shared" si="1"/>
        <v>0</v>
      </c>
      <c r="F49" s="210">
        <f t="shared" si="2"/>
        <v>0</v>
      </c>
      <c r="G49" s="121">
        <f t="shared" si="3"/>
        <v>0</v>
      </c>
    </row>
    <row r="50" spans="1:7" ht="16">
      <c r="A50" s="138" t="s">
        <v>65</v>
      </c>
      <c r="B50" s="158">
        <v>22</v>
      </c>
      <c r="C50" s="115">
        <v>1</v>
      </c>
      <c r="D50" s="111">
        <f t="shared" si="0"/>
        <v>9085.7142857142862</v>
      </c>
      <c r="E50" s="31">
        <f t="shared" si="1"/>
        <v>3963.7393767705385</v>
      </c>
      <c r="F50" s="210">
        <f t="shared" si="2"/>
        <v>13049.453662484824</v>
      </c>
      <c r="G50" s="121">
        <f t="shared" si="3"/>
        <v>2.0518008903278026E-2</v>
      </c>
    </row>
    <row r="51" spans="1:7" ht="16">
      <c r="A51" s="139" t="s">
        <v>53</v>
      </c>
      <c r="B51" s="158">
        <v>11</v>
      </c>
      <c r="C51" s="115">
        <v>1</v>
      </c>
      <c r="D51" s="111">
        <f t="shared" si="0"/>
        <v>9085.7142857142862</v>
      </c>
      <c r="E51" s="31">
        <f t="shared" si="1"/>
        <v>1981.8696883852692</v>
      </c>
      <c r="F51" s="210">
        <f t="shared" si="2"/>
        <v>11067.583974099556</v>
      </c>
      <c r="G51" s="121">
        <f t="shared" si="3"/>
        <v>1.7401861594496158E-2</v>
      </c>
    </row>
    <row r="52" spans="1:7" ht="16">
      <c r="A52" s="138" t="s">
        <v>56</v>
      </c>
      <c r="B52" s="158">
        <v>6</v>
      </c>
      <c r="C52" s="115">
        <v>1</v>
      </c>
      <c r="D52" s="111">
        <f t="shared" si="0"/>
        <v>9085.7142857142862</v>
      </c>
      <c r="E52" s="31">
        <f t="shared" si="1"/>
        <v>1081.0198300283287</v>
      </c>
      <c r="F52" s="210">
        <f t="shared" si="2"/>
        <v>10166.734115742614</v>
      </c>
      <c r="G52" s="121">
        <f t="shared" si="3"/>
        <v>1.5985430999595304E-2</v>
      </c>
    </row>
    <row r="53" spans="1:7" ht="16">
      <c r="A53" s="134" t="s">
        <v>59</v>
      </c>
      <c r="B53" s="158">
        <v>0</v>
      </c>
      <c r="C53" s="118">
        <v>0</v>
      </c>
      <c r="D53" s="111">
        <f t="shared" si="0"/>
        <v>0</v>
      </c>
      <c r="E53" s="31">
        <f t="shared" si="1"/>
        <v>0</v>
      </c>
      <c r="F53" s="210">
        <f t="shared" si="2"/>
        <v>0</v>
      </c>
      <c r="G53" s="121">
        <f t="shared" si="3"/>
        <v>0</v>
      </c>
    </row>
    <row r="54" spans="1:7" ht="16">
      <c r="A54" s="134" t="s">
        <v>148</v>
      </c>
      <c r="B54" s="158">
        <v>0</v>
      </c>
      <c r="C54" s="118">
        <v>0</v>
      </c>
      <c r="D54" s="111">
        <f t="shared" si="0"/>
        <v>0</v>
      </c>
      <c r="E54" s="31">
        <f t="shared" si="1"/>
        <v>0</v>
      </c>
      <c r="F54" s="210">
        <f t="shared" si="2"/>
        <v>0</v>
      </c>
      <c r="G54" s="121">
        <f t="shared" si="3"/>
        <v>0</v>
      </c>
    </row>
    <row r="55" spans="1:7" ht="16">
      <c r="A55" s="207" t="s">
        <v>35</v>
      </c>
      <c r="B55" s="158">
        <v>0</v>
      </c>
      <c r="C55" s="117">
        <v>0</v>
      </c>
      <c r="D55" s="111">
        <f t="shared" si="0"/>
        <v>0</v>
      </c>
      <c r="E55" s="31">
        <f t="shared" si="1"/>
        <v>0</v>
      </c>
      <c r="F55" s="210">
        <f t="shared" si="2"/>
        <v>0</v>
      </c>
      <c r="G55" s="121">
        <f t="shared" si="3"/>
        <v>0</v>
      </c>
    </row>
    <row r="56" spans="1:7" ht="16">
      <c r="A56" s="207" t="s">
        <v>78</v>
      </c>
      <c r="B56" s="158">
        <v>4</v>
      </c>
      <c r="C56" s="117">
        <v>1</v>
      </c>
      <c r="D56" s="111">
        <f t="shared" si="0"/>
        <v>9085.7142857142862</v>
      </c>
      <c r="E56" s="31">
        <f t="shared" si="1"/>
        <v>720.67988668555245</v>
      </c>
      <c r="F56" s="210">
        <f t="shared" si="2"/>
        <v>9806.3941723998396</v>
      </c>
      <c r="G56" s="121">
        <f t="shared" si="3"/>
        <v>1.5418858761634967E-2</v>
      </c>
    </row>
    <row r="57" spans="1:7" ht="16">
      <c r="A57" s="207" t="s">
        <v>149</v>
      </c>
      <c r="B57" s="158">
        <v>2</v>
      </c>
      <c r="C57" s="117">
        <v>1</v>
      </c>
      <c r="D57" s="111">
        <f t="shared" si="0"/>
        <v>9085.7142857142862</v>
      </c>
      <c r="E57" s="31">
        <f t="shared" si="1"/>
        <v>360.33994334277622</v>
      </c>
      <c r="F57" s="210">
        <f t="shared" si="2"/>
        <v>9446.0542290570629</v>
      </c>
      <c r="G57" s="121">
        <f t="shared" si="3"/>
        <v>1.4852286523674627E-2</v>
      </c>
    </row>
    <row r="58" spans="1:7" ht="16">
      <c r="A58" s="124" t="s">
        <v>117</v>
      </c>
      <c r="B58" s="156">
        <v>0</v>
      </c>
      <c r="C58" s="208">
        <v>0</v>
      </c>
      <c r="D58" s="209">
        <f t="shared" si="0"/>
        <v>0</v>
      </c>
      <c r="E58" s="31">
        <f t="shared" si="1"/>
        <v>0</v>
      </c>
      <c r="F58" s="210">
        <f t="shared" si="2"/>
        <v>0</v>
      </c>
      <c r="G58" s="121">
        <f t="shared" si="3"/>
        <v>0</v>
      </c>
    </row>
    <row r="59" spans="1:7" ht="17" thickBot="1">
      <c r="A59" s="140" t="s">
        <v>150</v>
      </c>
      <c r="B59" s="159">
        <v>64</v>
      </c>
      <c r="C59" s="125">
        <v>1</v>
      </c>
      <c r="D59" s="122">
        <f t="shared" si="0"/>
        <v>9085.7142857142862</v>
      </c>
      <c r="E59" s="50">
        <f t="shared" si="1"/>
        <v>11530.878186968839</v>
      </c>
      <c r="F59" s="213">
        <f t="shared" si="2"/>
        <v>20616.592472683125</v>
      </c>
      <c r="G59" s="123">
        <f t="shared" si="3"/>
        <v>3.2416025900445164E-2</v>
      </c>
    </row>
    <row r="60" spans="1:7" ht="17" thickBot="1">
      <c r="A60" s="61"/>
      <c r="B60" s="127"/>
      <c r="C60" s="60"/>
      <c r="D60" s="57"/>
      <c r="E60" s="57"/>
      <c r="F60" s="214"/>
    </row>
    <row r="61" spans="1:7" ht="17" thickBot="1">
      <c r="A61" s="54" t="s">
        <v>36</v>
      </c>
      <c r="B61" s="128">
        <f t="shared" ref="B61:G61" si="4">SUM(B19:B59)</f>
        <v>1765</v>
      </c>
      <c r="C61" s="119">
        <f t="shared" si="4"/>
        <v>35</v>
      </c>
      <c r="D61" s="31">
        <f t="shared" si="4"/>
        <v>317999.99999999994</v>
      </c>
      <c r="E61" s="31">
        <f t="shared" si="4"/>
        <v>318000.00000000006</v>
      </c>
      <c r="F61" s="215">
        <f t="shared" si="4"/>
        <v>636000</v>
      </c>
      <c r="G61" s="98">
        <f t="shared" si="4"/>
        <v>0.99999999999999989</v>
      </c>
    </row>
    <row r="62" spans="1:7" ht="16">
      <c r="A62" s="153" t="s">
        <v>151</v>
      </c>
      <c r="B62" s="60"/>
      <c r="C62" s="60"/>
      <c r="D62" s="31">
        <f>F12*D17</f>
        <v>318000</v>
      </c>
      <c r="E62" s="31">
        <f>F12*E17</f>
        <v>318000</v>
      </c>
      <c r="F62" s="216"/>
      <c r="G62"/>
    </row>
    <row r="63" spans="1:7" ht="16">
      <c r="A63" s="61"/>
      <c r="B63" s="92"/>
      <c r="C63" s="92"/>
      <c r="D63" s="63"/>
      <c r="E63" s="109">
        <f>E61+D61</f>
        <v>636000</v>
      </c>
      <c r="F63" s="63"/>
      <c r="G63"/>
    </row>
    <row r="64" spans="1:7" ht="13.5" customHeight="1">
      <c r="D64" s="65"/>
      <c r="E64" s="65"/>
      <c r="F64" s="65"/>
      <c r="G64"/>
    </row>
    <row r="65" spans="1:7">
      <c r="A65" s="5" t="s">
        <v>152</v>
      </c>
      <c r="D65" s="68"/>
      <c r="E65" s="68"/>
      <c r="F65" s="68"/>
      <c r="G65"/>
    </row>
  </sheetData>
  <autoFilter ref="A18:G18" xr:uid="{00000000-0009-0000-0000-00000C000000}">
    <sortState ref="A17:G53">
      <sortCondition descending="1" ref="F16"/>
    </sortState>
  </autoFilter>
  <mergeCells count="3">
    <mergeCell ref="A1:F3"/>
    <mergeCell ref="B9:F9"/>
    <mergeCell ref="D16:F16"/>
  </mergeCells>
  <pageMargins left="0.7" right="0.7" top="0.78740157499999996" bottom="0.78740157499999996" header="0.3" footer="0.3"/>
  <pageSetup paperSize="9" scale="60" orientation="portrait"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65"/>
  <sheetViews>
    <sheetView zoomScale="80" zoomScaleNormal="80" workbookViewId="0">
      <selection activeCell="B14" sqref="B14"/>
    </sheetView>
  </sheetViews>
  <sheetFormatPr baseColWidth="10" defaultColWidth="8.83203125" defaultRowHeight="15"/>
  <cols>
    <col min="1" max="1" width="45.5" customWidth="1"/>
    <col min="2" max="2" width="21.6640625" style="2" customWidth="1"/>
    <col min="3" max="3" width="10.33203125" style="2" customWidth="1"/>
    <col min="4" max="4" width="15" customWidth="1"/>
    <col min="5" max="5" width="18.83203125" customWidth="1"/>
    <col min="6" max="6" width="13.83203125" bestFit="1" customWidth="1"/>
    <col min="7" max="7" width="8.5" style="94" bestFit="1" customWidth="1"/>
    <col min="8" max="8" width="10.33203125" customWidth="1"/>
  </cols>
  <sheetData>
    <row r="1" spans="1:7" ht="18.75" customHeight="1">
      <c r="A1" s="266" t="s">
        <v>156</v>
      </c>
      <c r="B1" s="266"/>
      <c r="C1" s="266"/>
      <c r="D1" s="266"/>
      <c r="E1" s="266"/>
      <c r="F1" s="266"/>
    </row>
    <row r="2" spans="1:7" ht="18.75" customHeight="1">
      <c r="A2" s="266"/>
      <c r="B2" s="266"/>
      <c r="C2" s="266"/>
      <c r="D2" s="266"/>
      <c r="E2" s="266"/>
      <c r="F2" s="266"/>
    </row>
    <row r="3" spans="1:7" ht="18.75" customHeight="1">
      <c r="A3" s="266"/>
      <c r="B3" s="266"/>
      <c r="C3" s="266"/>
      <c r="D3" s="266"/>
      <c r="E3" s="266"/>
      <c r="F3" s="266"/>
    </row>
    <row r="4" spans="1:7" ht="16">
      <c r="A4" s="3" t="s">
        <v>157</v>
      </c>
    </row>
    <row r="5" spans="1:7" ht="16">
      <c r="A5" s="4" t="s">
        <v>71</v>
      </c>
    </row>
    <row r="6" spans="1:7" ht="16.5" customHeight="1">
      <c r="A6" s="5"/>
    </row>
    <row r="7" spans="1:7">
      <c r="A7" s="5"/>
    </row>
    <row r="8" spans="1:7" ht="105.75" customHeight="1" thickBot="1">
      <c r="A8" s="126" t="s">
        <v>79</v>
      </c>
    </row>
    <row r="9" spans="1:7" ht="17" thickBot="1">
      <c r="B9" s="267" t="s">
        <v>54</v>
      </c>
      <c r="C9" s="268"/>
      <c r="D9" s="268"/>
      <c r="E9" s="268"/>
      <c r="F9" s="269"/>
    </row>
    <row r="10" spans="1:7" ht="17" thickBot="1">
      <c r="B10" s="161" t="s">
        <v>158</v>
      </c>
      <c r="C10" s="162"/>
      <c r="D10" s="162"/>
      <c r="E10" s="162"/>
      <c r="F10" s="93">
        <v>1594000</v>
      </c>
    </row>
    <row r="11" spans="1:7" ht="16" thickBot="1">
      <c r="B11" s="163"/>
    </row>
    <row r="12" spans="1:7" ht="16.5" customHeight="1" thickBot="1">
      <c r="B12" s="164" t="s">
        <v>159</v>
      </c>
      <c r="C12" s="105"/>
      <c r="D12" s="105"/>
      <c r="E12" s="106"/>
      <c r="F12" s="165">
        <f>SUM(F10,-F13)</f>
        <v>994000</v>
      </c>
    </row>
    <row r="13" spans="1:7" ht="16.5" customHeight="1" thickBot="1">
      <c r="A13" s="99"/>
      <c r="B13" s="164" t="s">
        <v>160</v>
      </c>
      <c r="C13" s="166"/>
      <c r="D13" s="166"/>
      <c r="E13" s="166"/>
      <c r="F13" s="165">
        <v>600000</v>
      </c>
    </row>
    <row r="14" spans="1:7" ht="16.5" customHeight="1">
      <c r="A14" s="99"/>
      <c r="B14" s="99"/>
      <c r="C14" s="99"/>
      <c r="D14" s="100"/>
    </row>
    <row r="15" spans="1:7" s="11" customFormat="1" ht="16.5" customHeight="1" thickBot="1">
      <c r="A15" s="9"/>
      <c r="B15" s="10"/>
      <c r="C15" s="10"/>
      <c r="E15" s="12"/>
      <c r="F15" s="13"/>
      <c r="G15" s="95"/>
    </row>
    <row r="16" spans="1:7" s="9" customFormat="1" ht="65.25" customHeight="1" thickBot="1">
      <c r="B16" s="217" t="s">
        <v>161</v>
      </c>
      <c r="C16" s="217" t="s">
        <v>68</v>
      </c>
      <c r="D16" s="261" t="s">
        <v>162</v>
      </c>
      <c r="E16" s="262"/>
      <c r="F16" s="263"/>
      <c r="G16" s="96"/>
    </row>
    <row r="17" spans="1:7" s="20" customFormat="1" ht="17" thickBot="1">
      <c r="B17" s="107"/>
      <c r="C17" s="217"/>
      <c r="D17" s="17">
        <v>0.5</v>
      </c>
      <c r="E17" s="18">
        <f>1-D17</f>
        <v>0.5</v>
      </c>
      <c r="F17" s="108"/>
      <c r="G17" s="97"/>
    </row>
    <row r="18" spans="1:7" s="20" customFormat="1" ht="17" thickBot="1">
      <c r="A18" s="112" t="s">
        <v>66</v>
      </c>
      <c r="B18" s="107">
        <v>2016</v>
      </c>
      <c r="C18" s="217"/>
      <c r="D18" s="17" t="s">
        <v>4</v>
      </c>
      <c r="E18" s="18" t="s">
        <v>5</v>
      </c>
      <c r="F18" s="108" t="s">
        <v>6</v>
      </c>
      <c r="G18" s="113" t="s">
        <v>67</v>
      </c>
    </row>
    <row r="19" spans="1:7" ht="16">
      <c r="A19" s="135" t="s">
        <v>7</v>
      </c>
      <c r="B19" s="154">
        <v>56</v>
      </c>
      <c r="C19" s="118">
        <v>1</v>
      </c>
      <c r="D19" s="111">
        <f t="shared" ref="D19:D59" si="0">$F$12*$D$17/$C$61*C19</f>
        <v>13805.555555555555</v>
      </c>
      <c r="E19" s="31">
        <f t="shared" ref="E19:E59" si="1">$F$12*$E$17*B19/$B$61</f>
        <v>15068.760151597184</v>
      </c>
      <c r="F19" s="102">
        <f t="shared" ref="F19:F59" si="2">(D19+E19)</f>
        <v>28874.315707152738</v>
      </c>
      <c r="G19" s="121">
        <f t="shared" ref="G19:G59" si="3">F19/$F$61</f>
        <v>2.9048607351260303E-2</v>
      </c>
    </row>
    <row r="20" spans="1:7" ht="16.5" customHeight="1">
      <c r="A20" s="134" t="s">
        <v>11</v>
      </c>
      <c r="B20" s="155">
        <v>83</v>
      </c>
      <c r="C20" s="116">
        <v>1</v>
      </c>
      <c r="D20" s="111">
        <f t="shared" si="0"/>
        <v>13805.555555555555</v>
      </c>
      <c r="E20" s="31">
        <f t="shared" si="1"/>
        <v>22334.055224688684</v>
      </c>
      <c r="F20" s="102">
        <f t="shared" si="2"/>
        <v>36139.610780244242</v>
      </c>
      <c r="G20" s="121">
        <f t="shared" si="3"/>
        <v>3.6357757324189381E-2</v>
      </c>
    </row>
    <row r="21" spans="1:7" ht="16">
      <c r="A21" s="136" t="s">
        <v>12</v>
      </c>
      <c r="B21" s="155">
        <v>125</v>
      </c>
      <c r="C21" s="116">
        <v>1</v>
      </c>
      <c r="D21" s="111">
        <f t="shared" si="0"/>
        <v>13805.555555555555</v>
      </c>
      <c r="E21" s="31">
        <f t="shared" si="1"/>
        <v>33635.62533838657</v>
      </c>
      <c r="F21" s="102">
        <f t="shared" si="2"/>
        <v>47441.180893942124</v>
      </c>
      <c r="G21" s="121">
        <f t="shared" si="3"/>
        <v>4.7727546170967937E-2</v>
      </c>
    </row>
    <row r="22" spans="1:7" ht="16">
      <c r="A22" s="136" t="s">
        <v>57</v>
      </c>
      <c r="B22" s="155">
        <v>149</v>
      </c>
      <c r="C22" s="116">
        <v>1</v>
      </c>
      <c r="D22" s="111">
        <f t="shared" si="0"/>
        <v>13805.555555555555</v>
      </c>
      <c r="E22" s="31">
        <f t="shared" si="1"/>
        <v>40093.665403356797</v>
      </c>
      <c r="F22" s="102">
        <f t="shared" si="2"/>
        <v>53899.220958912352</v>
      </c>
      <c r="G22" s="121">
        <f t="shared" si="3"/>
        <v>5.4224568369127119E-2</v>
      </c>
    </row>
    <row r="23" spans="1:7" ht="16">
      <c r="A23" s="134" t="s">
        <v>8</v>
      </c>
      <c r="B23" s="155">
        <v>85</v>
      </c>
      <c r="C23" s="116">
        <v>1</v>
      </c>
      <c r="D23" s="111">
        <f t="shared" si="0"/>
        <v>13805.555555555555</v>
      </c>
      <c r="E23" s="31">
        <f t="shared" si="1"/>
        <v>22872.225230102871</v>
      </c>
      <c r="F23" s="102">
        <f t="shared" si="2"/>
        <v>36677.780785658426</v>
      </c>
      <c r="G23" s="121">
        <f t="shared" si="3"/>
        <v>3.6899175840702646E-2</v>
      </c>
    </row>
    <row r="24" spans="1:7" ht="16.5" customHeight="1">
      <c r="A24" s="134" t="s">
        <v>69</v>
      </c>
      <c r="B24" s="155">
        <v>81</v>
      </c>
      <c r="C24" s="116">
        <v>1</v>
      </c>
      <c r="D24" s="111">
        <f t="shared" si="0"/>
        <v>13805.555555555555</v>
      </c>
      <c r="E24" s="31">
        <f t="shared" si="1"/>
        <v>21795.8852192745</v>
      </c>
      <c r="F24" s="102">
        <f t="shared" si="2"/>
        <v>35601.440774830058</v>
      </c>
      <c r="G24" s="121">
        <f t="shared" si="3"/>
        <v>3.5816338807676117E-2</v>
      </c>
    </row>
    <row r="25" spans="1:7" ht="16.5" customHeight="1">
      <c r="A25" s="134" t="s">
        <v>13</v>
      </c>
      <c r="B25" s="155">
        <v>66</v>
      </c>
      <c r="C25" s="116">
        <v>1</v>
      </c>
      <c r="D25" s="111">
        <f t="shared" si="0"/>
        <v>13805.555555555555</v>
      </c>
      <c r="E25" s="31">
        <f t="shared" si="1"/>
        <v>17759.61017866811</v>
      </c>
      <c r="F25" s="102">
        <f t="shared" si="2"/>
        <v>31565.165734223665</v>
      </c>
      <c r="G25" s="121">
        <f t="shared" si="3"/>
        <v>3.1755699933826625E-2</v>
      </c>
    </row>
    <row r="26" spans="1:7" ht="16">
      <c r="A26" s="134" t="s">
        <v>60</v>
      </c>
      <c r="B26" s="155">
        <v>45</v>
      </c>
      <c r="C26" s="116">
        <v>1</v>
      </c>
      <c r="D26" s="111">
        <f t="shared" si="0"/>
        <v>13805.555555555555</v>
      </c>
      <c r="E26" s="31">
        <f t="shared" si="1"/>
        <v>12108.825121819165</v>
      </c>
      <c r="F26" s="102">
        <f t="shared" si="2"/>
        <v>25914.38067737472</v>
      </c>
      <c r="G26" s="121">
        <f t="shared" si="3"/>
        <v>2.6070805510437348E-2</v>
      </c>
    </row>
    <row r="27" spans="1:7" ht="16">
      <c r="A27" s="136" t="s">
        <v>10</v>
      </c>
      <c r="B27" s="155">
        <v>105</v>
      </c>
      <c r="C27" s="116">
        <v>1</v>
      </c>
      <c r="D27" s="111">
        <f t="shared" si="0"/>
        <v>13805.555555555555</v>
      </c>
      <c r="E27" s="31">
        <f t="shared" si="1"/>
        <v>28253.92528424472</v>
      </c>
      <c r="F27" s="102">
        <f t="shared" si="2"/>
        <v>42059.480839800279</v>
      </c>
      <c r="G27" s="121">
        <f t="shared" si="3"/>
        <v>4.2313361005835298E-2</v>
      </c>
    </row>
    <row r="28" spans="1:7" ht="16">
      <c r="A28" s="134" t="s">
        <v>21</v>
      </c>
      <c r="B28" s="155">
        <v>30</v>
      </c>
      <c r="C28" s="116">
        <v>1</v>
      </c>
      <c r="D28" s="111">
        <f t="shared" si="0"/>
        <v>13805.555555555555</v>
      </c>
      <c r="E28" s="31">
        <f t="shared" si="1"/>
        <v>8072.5500812127775</v>
      </c>
      <c r="F28" s="102">
        <f t="shared" si="2"/>
        <v>21878.105636768334</v>
      </c>
      <c r="G28" s="121">
        <f t="shared" si="3"/>
        <v>2.2010166636587863E-2</v>
      </c>
    </row>
    <row r="29" spans="1:7" ht="16">
      <c r="A29" s="134" t="s">
        <v>28</v>
      </c>
      <c r="B29" s="155">
        <v>57</v>
      </c>
      <c r="C29" s="116">
        <v>1</v>
      </c>
      <c r="D29" s="111">
        <f t="shared" si="0"/>
        <v>13805.555555555555</v>
      </c>
      <c r="E29" s="31">
        <f t="shared" si="1"/>
        <v>15337.845154304277</v>
      </c>
      <c r="F29" s="102">
        <f t="shared" si="2"/>
        <v>29143.40070985983</v>
      </c>
      <c r="G29" s="121">
        <f t="shared" si="3"/>
        <v>2.9319316609516935E-2</v>
      </c>
    </row>
    <row r="30" spans="1:7" ht="16">
      <c r="A30" s="136" t="s">
        <v>61</v>
      </c>
      <c r="B30" s="155">
        <v>56</v>
      </c>
      <c r="C30" s="116">
        <v>1</v>
      </c>
      <c r="D30" s="111">
        <f t="shared" si="0"/>
        <v>13805.555555555555</v>
      </c>
      <c r="E30" s="31">
        <f t="shared" si="1"/>
        <v>15068.760151597184</v>
      </c>
      <c r="F30" s="102">
        <f t="shared" si="2"/>
        <v>28874.315707152738</v>
      </c>
      <c r="G30" s="121">
        <f t="shared" si="3"/>
        <v>2.9048607351260303E-2</v>
      </c>
    </row>
    <row r="31" spans="1:7" ht="16">
      <c r="A31" s="136" t="s">
        <v>24</v>
      </c>
      <c r="B31" s="155">
        <v>53</v>
      </c>
      <c r="C31" s="116">
        <v>1</v>
      </c>
      <c r="D31" s="111">
        <f t="shared" si="0"/>
        <v>13805.555555555555</v>
      </c>
      <c r="E31" s="31">
        <f t="shared" si="1"/>
        <v>14261.505143475906</v>
      </c>
      <c r="F31" s="102">
        <f t="shared" si="2"/>
        <v>28067.060699031463</v>
      </c>
      <c r="G31" s="121">
        <f t="shared" si="3"/>
        <v>2.8236479576490409E-2</v>
      </c>
    </row>
    <row r="32" spans="1:7" ht="16">
      <c r="A32" s="134" t="s">
        <v>20</v>
      </c>
      <c r="B32" s="155">
        <v>26</v>
      </c>
      <c r="C32" s="116">
        <v>1</v>
      </c>
      <c r="D32" s="111">
        <f t="shared" si="0"/>
        <v>13805.555555555555</v>
      </c>
      <c r="E32" s="31">
        <f t="shared" si="1"/>
        <v>6996.2100703844071</v>
      </c>
      <c r="F32" s="102">
        <f t="shared" si="2"/>
        <v>20801.765625939963</v>
      </c>
      <c r="G32" s="121">
        <f t="shared" si="3"/>
        <v>2.0927329603561334E-2</v>
      </c>
    </row>
    <row r="33" spans="1:7" ht="16">
      <c r="A33" s="134" t="s">
        <v>25</v>
      </c>
      <c r="B33" s="155">
        <v>32</v>
      </c>
      <c r="C33" s="116">
        <v>1</v>
      </c>
      <c r="D33" s="111">
        <f t="shared" si="0"/>
        <v>13805.555555555555</v>
      </c>
      <c r="E33" s="31">
        <f t="shared" si="1"/>
        <v>8610.7200866269632</v>
      </c>
      <c r="F33" s="102">
        <f t="shared" si="2"/>
        <v>22416.275642182518</v>
      </c>
      <c r="G33" s="121">
        <f t="shared" si="3"/>
        <v>2.2551585153101128E-2</v>
      </c>
    </row>
    <row r="34" spans="1:7" ht="16">
      <c r="A34" s="136" t="s">
        <v>74</v>
      </c>
      <c r="B34" s="155">
        <v>48</v>
      </c>
      <c r="C34" s="116">
        <v>1</v>
      </c>
      <c r="D34" s="111">
        <f t="shared" si="0"/>
        <v>13805.555555555555</v>
      </c>
      <c r="E34" s="31">
        <f t="shared" si="1"/>
        <v>12916.080129940445</v>
      </c>
      <c r="F34" s="102">
        <f t="shared" si="2"/>
        <v>26721.635685495999</v>
      </c>
      <c r="G34" s="121">
        <f t="shared" si="3"/>
        <v>2.6882933285207244E-2</v>
      </c>
    </row>
    <row r="35" spans="1:7" ht="16">
      <c r="A35" s="134" t="s">
        <v>73</v>
      </c>
      <c r="B35" s="155">
        <v>159</v>
      </c>
      <c r="C35" s="116">
        <v>1</v>
      </c>
      <c r="D35" s="111">
        <f t="shared" si="0"/>
        <v>13805.555555555555</v>
      </c>
      <c r="E35" s="31">
        <f t="shared" si="1"/>
        <v>42784.515430427724</v>
      </c>
      <c r="F35" s="102">
        <f t="shared" si="2"/>
        <v>56590.070985983279</v>
      </c>
      <c r="G35" s="121">
        <f t="shared" si="3"/>
        <v>5.6931660951693448E-2</v>
      </c>
    </row>
    <row r="36" spans="1:7" ht="16">
      <c r="A36" s="134" t="s">
        <v>23</v>
      </c>
      <c r="B36" s="155">
        <v>33</v>
      </c>
      <c r="C36" s="116">
        <v>1</v>
      </c>
      <c r="D36" s="111">
        <f t="shared" si="0"/>
        <v>13805.555555555555</v>
      </c>
      <c r="E36" s="31">
        <f t="shared" si="1"/>
        <v>8879.8050893340551</v>
      </c>
      <c r="F36" s="102">
        <f t="shared" si="2"/>
        <v>22685.36064488961</v>
      </c>
      <c r="G36" s="121">
        <f t="shared" si="3"/>
        <v>2.282229441135776E-2</v>
      </c>
    </row>
    <row r="37" spans="1:7" ht="16">
      <c r="A37" s="137" t="s">
        <v>27</v>
      </c>
      <c r="B37" s="155">
        <v>62</v>
      </c>
      <c r="C37" s="116">
        <v>1</v>
      </c>
      <c r="D37" s="111">
        <f t="shared" si="0"/>
        <v>13805.555555555555</v>
      </c>
      <c r="E37" s="31">
        <f t="shared" si="1"/>
        <v>16683.270167839739</v>
      </c>
      <c r="F37" s="102">
        <f t="shared" si="2"/>
        <v>30488.825723395294</v>
      </c>
      <c r="G37" s="121">
        <f t="shared" si="3"/>
        <v>3.0672862900800096E-2</v>
      </c>
    </row>
    <row r="38" spans="1:7" ht="16">
      <c r="A38" s="134" t="s">
        <v>33</v>
      </c>
      <c r="B38" s="155">
        <v>50</v>
      </c>
      <c r="C38" s="116">
        <v>1</v>
      </c>
      <c r="D38" s="111">
        <f t="shared" si="0"/>
        <v>13805.555555555555</v>
      </c>
      <c r="E38" s="31">
        <f t="shared" si="1"/>
        <v>13454.250135354629</v>
      </c>
      <c r="F38" s="103">
        <f t="shared" si="2"/>
        <v>27259.805690910183</v>
      </c>
      <c r="G38" s="121">
        <f t="shared" si="3"/>
        <v>2.7424351801720509E-2</v>
      </c>
    </row>
    <row r="39" spans="1:7" ht="16">
      <c r="A39" s="134" t="s">
        <v>64</v>
      </c>
      <c r="B39" s="155">
        <v>101</v>
      </c>
      <c r="C39" s="116">
        <v>1</v>
      </c>
      <c r="D39" s="111">
        <f t="shared" si="0"/>
        <v>13805.555555555555</v>
      </c>
      <c r="E39" s="31">
        <f t="shared" si="1"/>
        <v>27177.585273416349</v>
      </c>
      <c r="F39" s="102">
        <f t="shared" si="2"/>
        <v>40983.140828971904</v>
      </c>
      <c r="G39" s="121">
        <f t="shared" si="3"/>
        <v>4.1230523972808762E-2</v>
      </c>
    </row>
    <row r="40" spans="1:7" ht="16">
      <c r="A40" s="134" t="s">
        <v>16</v>
      </c>
      <c r="B40" s="155">
        <v>45</v>
      </c>
      <c r="C40" s="116">
        <v>1</v>
      </c>
      <c r="D40" s="111">
        <f t="shared" si="0"/>
        <v>13805.555555555555</v>
      </c>
      <c r="E40" s="31">
        <f t="shared" si="1"/>
        <v>12108.825121819165</v>
      </c>
      <c r="F40" s="102">
        <f t="shared" si="2"/>
        <v>25914.38067737472</v>
      </c>
      <c r="G40" s="121">
        <f t="shared" si="3"/>
        <v>2.6070805510437348E-2</v>
      </c>
    </row>
    <row r="41" spans="1:7" ht="16">
      <c r="A41" s="134" t="s">
        <v>63</v>
      </c>
      <c r="B41" s="155">
        <v>53</v>
      </c>
      <c r="C41" s="116">
        <v>1</v>
      </c>
      <c r="D41" s="111">
        <f t="shared" si="0"/>
        <v>13805.555555555555</v>
      </c>
      <c r="E41" s="31">
        <f t="shared" si="1"/>
        <v>14261.505143475906</v>
      </c>
      <c r="F41" s="102">
        <f t="shared" si="2"/>
        <v>28067.060699031463</v>
      </c>
      <c r="G41" s="121">
        <f t="shared" si="3"/>
        <v>2.8236479576490409E-2</v>
      </c>
    </row>
    <row r="42" spans="1:7" ht="16">
      <c r="A42" s="134" t="s">
        <v>19</v>
      </c>
      <c r="B42" s="155">
        <v>42</v>
      </c>
      <c r="C42" s="116">
        <v>1</v>
      </c>
      <c r="D42" s="111">
        <f t="shared" si="0"/>
        <v>13805.555555555555</v>
      </c>
      <c r="E42" s="31">
        <f t="shared" si="1"/>
        <v>11301.570113697888</v>
      </c>
      <c r="F42" s="102">
        <f t="shared" si="2"/>
        <v>25107.125669253444</v>
      </c>
      <c r="G42" s="121">
        <f t="shared" si="3"/>
        <v>2.5258677735667451E-2</v>
      </c>
    </row>
    <row r="43" spans="1:7" ht="16">
      <c r="A43" s="134" t="s">
        <v>29</v>
      </c>
      <c r="B43" s="156">
        <v>24</v>
      </c>
      <c r="C43" s="117">
        <v>1</v>
      </c>
      <c r="D43" s="111">
        <f t="shared" si="0"/>
        <v>13805.555555555555</v>
      </c>
      <c r="E43" s="31">
        <f t="shared" si="1"/>
        <v>6458.0400649702224</v>
      </c>
      <c r="F43" s="102">
        <f t="shared" si="2"/>
        <v>20263.595620525775</v>
      </c>
      <c r="G43" s="121">
        <f t="shared" si="3"/>
        <v>2.0385911087048066E-2</v>
      </c>
    </row>
    <row r="44" spans="1:7" ht="16">
      <c r="A44" s="138" t="s">
        <v>62</v>
      </c>
      <c r="B44" s="157">
        <v>21</v>
      </c>
      <c r="C44" s="118">
        <v>1</v>
      </c>
      <c r="D44" s="111">
        <f t="shared" si="0"/>
        <v>13805.555555555555</v>
      </c>
      <c r="E44" s="31">
        <f t="shared" si="1"/>
        <v>5650.7850568489439</v>
      </c>
      <c r="F44" s="102">
        <f t="shared" si="2"/>
        <v>19456.3406124045</v>
      </c>
      <c r="G44" s="121">
        <f t="shared" si="3"/>
        <v>1.9573783312278169E-2</v>
      </c>
    </row>
    <row r="45" spans="1:7" ht="16">
      <c r="A45" s="138" t="s">
        <v>32</v>
      </c>
      <c r="B45" s="157">
        <v>34</v>
      </c>
      <c r="C45" s="118">
        <v>1</v>
      </c>
      <c r="D45" s="111">
        <f t="shared" si="0"/>
        <v>13805.555555555555</v>
      </c>
      <c r="E45" s="31">
        <f t="shared" si="1"/>
        <v>9148.890092041147</v>
      </c>
      <c r="F45" s="104">
        <f t="shared" si="2"/>
        <v>22954.445647596702</v>
      </c>
      <c r="G45" s="121">
        <f t="shared" si="3"/>
        <v>2.3093003669614389E-2</v>
      </c>
    </row>
    <row r="46" spans="1:7" ht="16">
      <c r="A46" s="134" t="s">
        <v>58</v>
      </c>
      <c r="B46" s="156">
        <v>0</v>
      </c>
      <c r="C46" s="117">
        <v>0</v>
      </c>
      <c r="D46" s="111">
        <f t="shared" si="0"/>
        <v>0</v>
      </c>
      <c r="E46" s="31">
        <f t="shared" si="1"/>
        <v>0</v>
      </c>
      <c r="F46" s="102">
        <f t="shared" si="2"/>
        <v>0</v>
      </c>
      <c r="G46" s="121">
        <f t="shared" si="3"/>
        <v>0</v>
      </c>
    </row>
    <row r="47" spans="1:7" ht="16">
      <c r="A47" s="134" t="s">
        <v>75</v>
      </c>
      <c r="B47" s="156">
        <v>10</v>
      </c>
      <c r="C47" s="117">
        <v>1</v>
      </c>
      <c r="D47" s="111">
        <f t="shared" si="0"/>
        <v>13805.555555555555</v>
      </c>
      <c r="E47" s="31">
        <f t="shared" si="1"/>
        <v>2690.850027070926</v>
      </c>
      <c r="F47" s="102">
        <f t="shared" si="2"/>
        <v>16496.405582626481</v>
      </c>
      <c r="G47" s="121">
        <f t="shared" si="3"/>
        <v>1.6595981471455214E-2</v>
      </c>
    </row>
    <row r="48" spans="1:7" ht="16">
      <c r="A48" s="138" t="s">
        <v>76</v>
      </c>
      <c r="B48" s="158">
        <v>3</v>
      </c>
      <c r="C48" s="115">
        <v>1</v>
      </c>
      <c r="D48" s="111">
        <f t="shared" si="0"/>
        <v>13805.555555555555</v>
      </c>
      <c r="E48" s="31">
        <f t="shared" si="1"/>
        <v>807.2550081212778</v>
      </c>
      <c r="F48" s="102">
        <f t="shared" si="2"/>
        <v>14612.810563676832</v>
      </c>
      <c r="G48" s="121">
        <f t="shared" si="3"/>
        <v>1.4701016663658787E-2</v>
      </c>
    </row>
    <row r="49" spans="1:7" ht="16">
      <c r="A49" s="134" t="s">
        <v>77</v>
      </c>
      <c r="B49" s="158">
        <v>0</v>
      </c>
      <c r="C49" s="115">
        <v>0</v>
      </c>
      <c r="D49" s="111">
        <f t="shared" si="0"/>
        <v>0</v>
      </c>
      <c r="E49" s="31">
        <f t="shared" si="1"/>
        <v>0</v>
      </c>
      <c r="F49" s="102">
        <f t="shared" si="2"/>
        <v>0</v>
      </c>
      <c r="G49" s="121">
        <f t="shared" si="3"/>
        <v>0</v>
      </c>
    </row>
    <row r="50" spans="1:7" ht="16">
      <c r="A50" s="138" t="s">
        <v>65</v>
      </c>
      <c r="B50" s="158">
        <v>22</v>
      </c>
      <c r="C50" s="115">
        <v>1</v>
      </c>
      <c r="D50" s="111">
        <f t="shared" si="0"/>
        <v>13805.555555555555</v>
      </c>
      <c r="E50" s="31">
        <f t="shared" si="1"/>
        <v>5919.8700595560367</v>
      </c>
      <c r="F50" s="102">
        <f t="shared" si="2"/>
        <v>19725.425615111591</v>
      </c>
      <c r="G50" s="121">
        <f t="shared" si="3"/>
        <v>1.9844492570534802E-2</v>
      </c>
    </row>
    <row r="51" spans="1:7" ht="16">
      <c r="A51" s="139" t="s">
        <v>53</v>
      </c>
      <c r="B51" s="158">
        <v>11</v>
      </c>
      <c r="C51" s="115">
        <v>1</v>
      </c>
      <c r="D51" s="111">
        <f t="shared" si="0"/>
        <v>13805.555555555555</v>
      </c>
      <c r="E51" s="31">
        <f t="shared" si="1"/>
        <v>2959.9350297780184</v>
      </c>
      <c r="F51" s="102">
        <f t="shared" si="2"/>
        <v>16765.490585333573</v>
      </c>
      <c r="G51" s="121">
        <f t="shared" si="3"/>
        <v>1.6866690729711847E-2</v>
      </c>
    </row>
    <row r="52" spans="1:7" ht="16">
      <c r="A52" s="138" t="s">
        <v>56</v>
      </c>
      <c r="B52" s="158">
        <v>6</v>
      </c>
      <c r="C52" s="115">
        <v>1</v>
      </c>
      <c r="D52" s="111">
        <f t="shared" si="0"/>
        <v>13805.555555555555</v>
      </c>
      <c r="E52" s="31">
        <f t="shared" si="1"/>
        <v>1614.5100162425556</v>
      </c>
      <c r="F52" s="102">
        <f t="shared" si="2"/>
        <v>15420.06557179811</v>
      </c>
      <c r="G52" s="121">
        <f t="shared" si="3"/>
        <v>1.5513144438428684E-2</v>
      </c>
    </row>
    <row r="53" spans="1:7" ht="16">
      <c r="A53" s="134" t="s">
        <v>59</v>
      </c>
      <c r="B53" s="158">
        <v>0</v>
      </c>
      <c r="C53" s="118">
        <v>0</v>
      </c>
      <c r="D53" s="111">
        <f t="shared" si="0"/>
        <v>0</v>
      </c>
      <c r="E53" s="31">
        <f t="shared" si="1"/>
        <v>0</v>
      </c>
      <c r="F53" s="102">
        <f t="shared" si="2"/>
        <v>0</v>
      </c>
      <c r="G53" s="121">
        <f t="shared" si="3"/>
        <v>0</v>
      </c>
    </row>
    <row r="54" spans="1:7" ht="16">
      <c r="A54" s="134" t="s">
        <v>148</v>
      </c>
      <c r="B54" s="158">
        <v>0</v>
      </c>
      <c r="C54" s="118">
        <v>0</v>
      </c>
      <c r="D54" s="111">
        <f t="shared" si="0"/>
        <v>0</v>
      </c>
      <c r="E54" s="31">
        <f t="shared" si="1"/>
        <v>0</v>
      </c>
      <c r="F54" s="102">
        <f t="shared" si="2"/>
        <v>0</v>
      </c>
      <c r="G54" s="121">
        <f t="shared" si="3"/>
        <v>0</v>
      </c>
    </row>
    <row r="55" spans="1:7" ht="16">
      <c r="A55" s="207" t="s">
        <v>35</v>
      </c>
      <c r="B55" s="158">
        <v>1</v>
      </c>
      <c r="C55" s="117">
        <v>1</v>
      </c>
      <c r="D55" s="111">
        <f t="shared" si="0"/>
        <v>13805.555555555555</v>
      </c>
      <c r="E55" s="31">
        <f t="shared" si="1"/>
        <v>269.0850027070926</v>
      </c>
      <c r="F55" s="102">
        <f t="shared" si="2"/>
        <v>14074.640558262647</v>
      </c>
      <c r="G55" s="121">
        <f t="shared" si="3"/>
        <v>1.4159598147145522E-2</v>
      </c>
    </row>
    <row r="56" spans="1:7" ht="16">
      <c r="A56" s="207" t="s">
        <v>78</v>
      </c>
      <c r="B56" s="158">
        <v>4</v>
      </c>
      <c r="C56" s="117">
        <v>1</v>
      </c>
      <c r="D56" s="111">
        <f t="shared" si="0"/>
        <v>13805.555555555555</v>
      </c>
      <c r="E56" s="31">
        <f t="shared" si="1"/>
        <v>1076.3400108283704</v>
      </c>
      <c r="F56" s="102">
        <f t="shared" si="2"/>
        <v>14881.895566383926</v>
      </c>
      <c r="G56" s="121">
        <f t="shared" si="3"/>
        <v>1.4971725921915421E-2</v>
      </c>
    </row>
    <row r="57" spans="1:7" ht="16">
      <c r="A57" s="207" t="s">
        <v>149</v>
      </c>
      <c r="B57" s="158">
        <v>2</v>
      </c>
      <c r="C57" s="117">
        <v>1</v>
      </c>
      <c r="D57" s="111">
        <f t="shared" si="0"/>
        <v>13805.555555555555</v>
      </c>
      <c r="E57" s="31">
        <f t="shared" si="1"/>
        <v>538.1700054141852</v>
      </c>
      <c r="F57" s="102">
        <f t="shared" si="2"/>
        <v>14343.72556096974</v>
      </c>
      <c r="G57" s="121">
        <f t="shared" si="3"/>
        <v>1.4430307405402154E-2</v>
      </c>
    </row>
    <row r="58" spans="1:7" ht="16">
      <c r="A58" s="124" t="s">
        <v>117</v>
      </c>
      <c r="B58" s="156">
        <v>0</v>
      </c>
      <c r="C58" s="208">
        <v>0</v>
      </c>
      <c r="D58" s="209">
        <f t="shared" si="0"/>
        <v>0</v>
      </c>
      <c r="E58" s="31">
        <f t="shared" si="1"/>
        <v>0</v>
      </c>
      <c r="F58" s="102">
        <f t="shared" si="2"/>
        <v>0</v>
      </c>
      <c r="G58" s="121">
        <f t="shared" si="3"/>
        <v>0</v>
      </c>
    </row>
    <row r="59" spans="1:7" ht="17" thickBot="1">
      <c r="A59" s="140" t="s">
        <v>150</v>
      </c>
      <c r="B59" s="159">
        <v>67</v>
      </c>
      <c r="C59" s="125">
        <v>1</v>
      </c>
      <c r="D59" s="122">
        <f t="shared" si="0"/>
        <v>13805.555555555555</v>
      </c>
      <c r="E59" s="50">
        <f t="shared" si="1"/>
        <v>18028.695181375202</v>
      </c>
      <c r="F59" s="114">
        <f t="shared" si="2"/>
        <v>31834.250736930757</v>
      </c>
      <c r="G59" s="123">
        <f t="shared" si="3"/>
        <v>3.2026409192083258E-2</v>
      </c>
    </row>
    <row r="60" spans="1:7" ht="17" thickBot="1">
      <c r="A60" s="61"/>
      <c r="B60" s="127"/>
      <c r="C60" s="60"/>
      <c r="D60" s="57"/>
      <c r="E60" s="57"/>
      <c r="F60" s="91"/>
    </row>
    <row r="61" spans="1:7" ht="17" thickBot="1">
      <c r="A61" s="54" t="s">
        <v>36</v>
      </c>
      <c r="B61" s="128">
        <f t="shared" ref="B61:G61" si="4">SUM(B19:B59)</f>
        <v>1847</v>
      </c>
      <c r="C61" s="119">
        <f t="shared" si="4"/>
        <v>36</v>
      </c>
      <c r="D61" s="31">
        <f t="shared" si="4"/>
        <v>497000.00000000017</v>
      </c>
      <c r="E61" s="31">
        <f t="shared" si="4"/>
        <v>496999.99999999994</v>
      </c>
      <c r="F61" s="120">
        <f t="shared" si="4"/>
        <v>993999.99999999988</v>
      </c>
      <c r="G61" s="98">
        <f t="shared" si="4"/>
        <v>1.0000000000000002</v>
      </c>
    </row>
    <row r="62" spans="1:7" ht="16">
      <c r="A62" s="153" t="s">
        <v>163</v>
      </c>
      <c r="B62" s="60"/>
      <c r="C62" s="60"/>
      <c r="D62" s="31">
        <f>F12*D17</f>
        <v>497000</v>
      </c>
      <c r="E62" s="31">
        <f>F12*E17</f>
        <v>497000</v>
      </c>
      <c r="F62" s="31"/>
      <c r="G62"/>
    </row>
    <row r="63" spans="1:7" ht="16">
      <c r="A63" s="61"/>
      <c r="B63" s="92"/>
      <c r="C63" s="92"/>
      <c r="D63" s="63"/>
      <c r="E63" s="109">
        <f>E61+D61</f>
        <v>994000.00000000012</v>
      </c>
      <c r="F63" s="63"/>
      <c r="G63"/>
    </row>
    <row r="64" spans="1:7" ht="13.5" customHeight="1">
      <c r="D64" s="65"/>
      <c r="E64" s="65"/>
      <c r="F64" s="65"/>
      <c r="G64"/>
    </row>
    <row r="65" spans="1:7">
      <c r="A65" s="5" t="s">
        <v>164</v>
      </c>
      <c r="D65" s="68"/>
      <c r="E65" s="68"/>
      <c r="F65" s="68"/>
      <c r="G65"/>
    </row>
  </sheetData>
  <autoFilter ref="A18:G18" xr:uid="{00000000-0009-0000-0000-00000D000000}">
    <sortState ref="A17:G53">
      <sortCondition descending="1" ref="F16"/>
    </sortState>
  </autoFilter>
  <mergeCells count="3">
    <mergeCell ref="A1:F3"/>
    <mergeCell ref="B9:F9"/>
    <mergeCell ref="D16:F16"/>
  </mergeCells>
  <pageMargins left="0.7" right="0.7" top="0.78740157499999996" bottom="0.78740157499999996" header="0.3" footer="0.3"/>
  <pageSetup paperSize="9" scale="60" orientation="portrait" r:id="rId1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I65"/>
  <sheetViews>
    <sheetView topLeftCell="A15" zoomScale="80" zoomScaleNormal="80" workbookViewId="0">
      <selection activeCell="I50" sqref="I50"/>
    </sheetView>
  </sheetViews>
  <sheetFormatPr baseColWidth="10" defaultColWidth="8.83203125" defaultRowHeight="15"/>
  <cols>
    <col min="1" max="1" width="45.5" customWidth="1"/>
    <col min="2" max="2" width="18.1640625" style="2" customWidth="1"/>
    <col min="3" max="3" width="8.33203125" style="2" customWidth="1"/>
    <col min="4" max="4" width="15" customWidth="1"/>
    <col min="5" max="5" width="15.5" customWidth="1"/>
    <col min="6" max="6" width="13.83203125" bestFit="1" customWidth="1"/>
    <col min="7" max="7" width="8.5" style="94" bestFit="1" customWidth="1"/>
    <col min="8" max="8" width="17.1640625" bestFit="1" customWidth="1"/>
    <col min="9" max="9" width="14.5" bestFit="1" customWidth="1"/>
    <col min="10" max="10" width="16.6640625" customWidth="1"/>
  </cols>
  <sheetData>
    <row r="1" spans="1:9" ht="18.75" customHeight="1">
      <c r="A1" s="266" t="s">
        <v>167</v>
      </c>
      <c r="B1" s="266"/>
      <c r="C1" s="266"/>
      <c r="D1" s="266"/>
      <c r="E1" s="266"/>
      <c r="F1" s="266"/>
    </row>
    <row r="2" spans="1:9" ht="10.5" customHeight="1">
      <c r="A2" s="266"/>
      <c r="B2" s="266"/>
      <c r="C2" s="266"/>
      <c r="D2" s="266"/>
      <c r="E2" s="266"/>
      <c r="F2" s="266"/>
    </row>
    <row r="3" spans="1:9" ht="8.25" customHeight="1">
      <c r="A3" s="266"/>
      <c r="B3" s="266"/>
      <c r="C3" s="266"/>
      <c r="D3" s="266"/>
      <c r="E3" s="266"/>
      <c r="F3" s="266"/>
    </row>
    <row r="4" spans="1:9" ht="16">
      <c r="A4" s="3" t="s">
        <v>168</v>
      </c>
    </row>
    <row r="5" spans="1:9" ht="16">
      <c r="A5" s="4" t="s">
        <v>71</v>
      </c>
    </row>
    <row r="6" spans="1:9" ht="9" customHeight="1">
      <c r="A6" s="5"/>
    </row>
    <row r="7" spans="1:9" hidden="1">
      <c r="A7" s="5"/>
    </row>
    <row r="8" spans="1:9" ht="156.75" customHeight="1" thickBot="1">
      <c r="A8" s="126" t="s">
        <v>169</v>
      </c>
    </row>
    <row r="9" spans="1:9" ht="17" thickBot="1">
      <c r="B9" s="267" t="s">
        <v>54</v>
      </c>
      <c r="C9" s="268"/>
      <c r="D9" s="268"/>
      <c r="E9" s="268"/>
      <c r="F9" s="269"/>
    </row>
    <row r="10" spans="1:9" ht="17" thickBot="1">
      <c r="B10" s="161" t="s">
        <v>170</v>
      </c>
      <c r="C10" s="162"/>
      <c r="D10" s="162"/>
      <c r="E10" s="162"/>
      <c r="F10" s="93">
        <v>1490000</v>
      </c>
    </row>
    <row r="11" spans="1:9" ht="16" thickBot="1">
      <c r="B11" s="163"/>
    </row>
    <row r="12" spans="1:9" ht="16.5" customHeight="1" thickBot="1">
      <c r="B12" s="164" t="s">
        <v>171</v>
      </c>
      <c r="C12" s="105"/>
      <c r="D12" s="105"/>
      <c r="E12" s="106"/>
      <c r="F12" s="165">
        <f>SUM(F10,-F13)</f>
        <v>490000</v>
      </c>
      <c r="H12" t="s">
        <v>172</v>
      </c>
      <c r="I12" t="s">
        <v>173</v>
      </c>
    </row>
    <row r="13" spans="1:9" ht="16.5" customHeight="1" thickBot="1">
      <c r="A13" s="99"/>
      <c r="B13" s="164" t="s">
        <v>160</v>
      </c>
      <c r="C13" s="166"/>
      <c r="D13" s="166"/>
      <c r="E13" s="166"/>
      <c r="F13" s="165">
        <v>1000000</v>
      </c>
      <c r="G13" s="223" t="s">
        <v>174</v>
      </c>
      <c r="H13" s="224">
        <v>300000</v>
      </c>
      <c r="I13" s="165">
        <v>700000</v>
      </c>
    </row>
    <row r="14" spans="1:9" ht="16.5" customHeight="1">
      <c r="A14" s="99"/>
      <c r="B14" s="99"/>
      <c r="C14" s="99"/>
      <c r="D14" s="100"/>
      <c r="I14" s="2" t="s">
        <v>175</v>
      </c>
    </row>
    <row r="15" spans="1:9" s="11" customFormat="1" ht="16.5" customHeight="1" thickBot="1">
      <c r="A15" s="9"/>
      <c r="B15" s="10"/>
      <c r="C15" s="10"/>
      <c r="E15" s="12"/>
      <c r="F15" s="13"/>
      <c r="G15" s="95"/>
    </row>
    <row r="16" spans="1:9" s="9" customFormat="1" ht="65.25" customHeight="1" thickBot="1">
      <c r="B16" s="222" t="s">
        <v>176</v>
      </c>
      <c r="C16" s="222" t="s">
        <v>68</v>
      </c>
      <c r="D16" s="261" t="s">
        <v>177</v>
      </c>
      <c r="E16" s="262"/>
      <c r="F16" s="263"/>
      <c r="G16" s="96"/>
    </row>
    <row r="17" spans="1:9" s="20" customFormat="1" ht="17" thickBot="1">
      <c r="B17" s="107"/>
      <c r="C17" s="222"/>
      <c r="D17" s="17">
        <v>0.5</v>
      </c>
      <c r="E17" s="18">
        <f>1-D17</f>
        <v>0.5</v>
      </c>
      <c r="F17" s="108"/>
      <c r="G17" s="97"/>
    </row>
    <row r="18" spans="1:9" s="20" customFormat="1" ht="17" thickBot="1">
      <c r="A18" s="112" t="s">
        <v>66</v>
      </c>
      <c r="B18" s="107">
        <v>2016</v>
      </c>
      <c r="C18" s="222"/>
      <c r="D18" s="17" t="s">
        <v>4</v>
      </c>
      <c r="E18" s="18" t="s">
        <v>5</v>
      </c>
      <c r="F18" s="108" t="s">
        <v>6</v>
      </c>
      <c r="G18" s="225" t="s">
        <v>67</v>
      </c>
      <c r="H18" s="17" t="s">
        <v>178</v>
      </c>
      <c r="I18" s="226" t="s">
        <v>155</v>
      </c>
    </row>
    <row r="19" spans="1:9" ht="16">
      <c r="A19" s="135" t="s">
        <v>7</v>
      </c>
      <c r="B19" s="154">
        <v>48</v>
      </c>
      <c r="C19" s="118">
        <v>1</v>
      </c>
      <c r="D19" s="111">
        <f t="shared" ref="D19:D59" si="0">$F$12*$D$17/$C$61*C19</f>
        <v>6621.6216216216217</v>
      </c>
      <c r="E19" s="31">
        <f t="shared" ref="E19:E59" si="1">$F$12*$E$17*B19/$B$61</f>
        <v>6295.5032119914349</v>
      </c>
      <c r="F19" s="102">
        <f t="shared" ref="F19:F59" si="2">(D19+E19)</f>
        <v>12917.124833613056</v>
      </c>
      <c r="G19" s="227">
        <f t="shared" ref="G19:G59" si="3">F19/$F$61</f>
        <v>2.6361479252271541E-2</v>
      </c>
      <c r="H19" s="228">
        <v>28250</v>
      </c>
      <c r="I19" s="229">
        <f t="shared" ref="I19:I59" si="4">SUM(F19,H19)</f>
        <v>41167.124833613052</v>
      </c>
    </row>
    <row r="20" spans="1:9" ht="16.5" customHeight="1">
      <c r="A20" s="134" t="s">
        <v>11</v>
      </c>
      <c r="B20" s="155">
        <v>83</v>
      </c>
      <c r="C20" s="116">
        <v>1</v>
      </c>
      <c r="D20" s="111">
        <f t="shared" si="0"/>
        <v>6621.6216216216217</v>
      </c>
      <c r="E20" s="31">
        <f t="shared" si="1"/>
        <v>10885.974304068523</v>
      </c>
      <c r="F20" s="102">
        <f t="shared" si="2"/>
        <v>17507.595925690144</v>
      </c>
      <c r="G20" s="227">
        <f t="shared" si="3"/>
        <v>3.5729787603449269E-2</v>
      </c>
      <c r="H20" s="230">
        <v>0</v>
      </c>
      <c r="I20" s="231">
        <f t="shared" si="4"/>
        <v>17507.595925690144</v>
      </c>
    </row>
    <row r="21" spans="1:9" ht="16">
      <c r="A21" s="136" t="s">
        <v>12</v>
      </c>
      <c r="B21" s="155">
        <v>125</v>
      </c>
      <c r="C21" s="116">
        <v>1</v>
      </c>
      <c r="D21" s="111">
        <f t="shared" si="0"/>
        <v>6621.6216216216217</v>
      </c>
      <c r="E21" s="31">
        <f t="shared" si="1"/>
        <v>16394.539614561028</v>
      </c>
      <c r="F21" s="102">
        <f t="shared" si="2"/>
        <v>23016.161236182648</v>
      </c>
      <c r="G21" s="227">
        <f t="shared" si="3"/>
        <v>4.697175762486254E-2</v>
      </c>
      <c r="H21" s="230">
        <v>14750</v>
      </c>
      <c r="I21" s="231">
        <f t="shared" si="4"/>
        <v>37766.161236182648</v>
      </c>
    </row>
    <row r="22" spans="1:9" ht="16">
      <c r="A22" s="136" t="s">
        <v>57</v>
      </c>
      <c r="B22" s="155">
        <v>149</v>
      </c>
      <c r="C22" s="116">
        <v>1</v>
      </c>
      <c r="D22" s="111">
        <f t="shared" si="0"/>
        <v>6621.6216216216217</v>
      </c>
      <c r="E22" s="31">
        <f t="shared" si="1"/>
        <v>19542.291220556745</v>
      </c>
      <c r="F22" s="102">
        <f t="shared" si="2"/>
        <v>26163.912842178368</v>
      </c>
      <c r="G22" s="227">
        <f t="shared" si="3"/>
        <v>5.3395740494241561E-2</v>
      </c>
      <c r="H22" s="230">
        <v>20250</v>
      </c>
      <c r="I22" s="231">
        <f t="shared" si="4"/>
        <v>46413.912842178368</v>
      </c>
    </row>
    <row r="23" spans="1:9" ht="16">
      <c r="A23" s="134" t="s">
        <v>8</v>
      </c>
      <c r="B23" s="155">
        <v>85</v>
      </c>
      <c r="C23" s="116">
        <v>1</v>
      </c>
      <c r="D23" s="111">
        <f t="shared" si="0"/>
        <v>6621.6216216216217</v>
      </c>
      <c r="E23" s="31">
        <f t="shared" si="1"/>
        <v>11148.286937901499</v>
      </c>
      <c r="F23" s="102">
        <f t="shared" si="2"/>
        <v>17769.908559523123</v>
      </c>
      <c r="G23" s="227">
        <f t="shared" si="3"/>
        <v>3.6265119509230857E-2</v>
      </c>
      <c r="H23" s="230">
        <v>48000</v>
      </c>
      <c r="I23" s="231">
        <f t="shared" si="4"/>
        <v>65769.908559523115</v>
      </c>
    </row>
    <row r="24" spans="1:9" ht="16.5" customHeight="1">
      <c r="A24" s="134" t="s">
        <v>69</v>
      </c>
      <c r="B24" s="155">
        <v>81</v>
      </c>
      <c r="C24" s="116">
        <v>1</v>
      </c>
      <c r="D24" s="111">
        <f t="shared" si="0"/>
        <v>6621.6216216216217</v>
      </c>
      <c r="E24" s="31">
        <f t="shared" si="1"/>
        <v>10623.661670235546</v>
      </c>
      <c r="F24" s="102">
        <f t="shared" si="2"/>
        <v>17245.283291857166</v>
      </c>
      <c r="G24" s="227">
        <f t="shared" si="3"/>
        <v>3.519445569766768E-2</v>
      </c>
      <c r="H24" s="230">
        <v>14750</v>
      </c>
      <c r="I24" s="231">
        <f t="shared" si="4"/>
        <v>31995.283291857166</v>
      </c>
    </row>
    <row r="25" spans="1:9" ht="16.5" customHeight="1">
      <c r="A25" s="134" t="s">
        <v>13</v>
      </c>
      <c r="B25" s="155">
        <v>66</v>
      </c>
      <c r="C25" s="116">
        <v>1</v>
      </c>
      <c r="D25" s="111">
        <f t="shared" si="0"/>
        <v>6621.6216216216217</v>
      </c>
      <c r="E25" s="31">
        <f t="shared" si="1"/>
        <v>8656.316916488222</v>
      </c>
      <c r="F25" s="102">
        <f t="shared" si="2"/>
        <v>15277.938538109844</v>
      </c>
      <c r="G25" s="227">
        <f t="shared" si="3"/>
        <v>3.11794664043058E-2</v>
      </c>
      <c r="H25" s="230">
        <v>18500</v>
      </c>
      <c r="I25" s="231">
        <f t="shared" si="4"/>
        <v>33777.93853810984</v>
      </c>
    </row>
    <row r="26" spans="1:9" ht="16">
      <c r="A26" s="134" t="s">
        <v>60</v>
      </c>
      <c r="B26" s="155">
        <v>46</v>
      </c>
      <c r="C26" s="116">
        <v>1</v>
      </c>
      <c r="D26" s="111">
        <f t="shared" si="0"/>
        <v>6621.6216216216217</v>
      </c>
      <c r="E26" s="31">
        <f t="shared" si="1"/>
        <v>6033.1905781584583</v>
      </c>
      <c r="F26" s="102">
        <f t="shared" si="2"/>
        <v>12654.812199780081</v>
      </c>
      <c r="G26" s="227">
        <f t="shared" si="3"/>
        <v>2.5826147346489959E-2</v>
      </c>
      <c r="H26" s="230">
        <v>0</v>
      </c>
      <c r="I26" s="231">
        <f t="shared" si="4"/>
        <v>12654.812199780081</v>
      </c>
    </row>
    <row r="27" spans="1:9" ht="16">
      <c r="A27" s="136" t="s">
        <v>10</v>
      </c>
      <c r="B27" s="155">
        <v>105</v>
      </c>
      <c r="C27" s="116">
        <v>1</v>
      </c>
      <c r="D27" s="111">
        <f t="shared" si="0"/>
        <v>6621.6216216216217</v>
      </c>
      <c r="E27" s="31">
        <f t="shared" si="1"/>
        <v>13771.413276231264</v>
      </c>
      <c r="F27" s="102">
        <f t="shared" si="2"/>
        <v>20393.034897852885</v>
      </c>
      <c r="G27" s="227">
        <f t="shared" si="3"/>
        <v>4.1618438567046702E-2</v>
      </c>
      <c r="H27" s="230">
        <v>20250</v>
      </c>
      <c r="I27" s="231">
        <f t="shared" si="4"/>
        <v>40643.034897852885</v>
      </c>
    </row>
    <row r="28" spans="1:9" ht="16">
      <c r="A28" s="134" t="s">
        <v>21</v>
      </c>
      <c r="B28" s="155">
        <v>30</v>
      </c>
      <c r="C28" s="116">
        <v>1</v>
      </c>
      <c r="D28" s="111">
        <f t="shared" si="0"/>
        <v>6621.6216216216217</v>
      </c>
      <c r="E28" s="31">
        <f t="shared" si="1"/>
        <v>3934.6895074946465</v>
      </c>
      <c r="F28" s="102">
        <f t="shared" si="2"/>
        <v>10556.311129116268</v>
      </c>
      <c r="G28" s="227">
        <f t="shared" si="3"/>
        <v>2.1543492100237278E-2</v>
      </c>
      <c r="H28" s="230">
        <v>0</v>
      </c>
      <c r="I28" s="231">
        <f t="shared" si="4"/>
        <v>10556.311129116268</v>
      </c>
    </row>
    <row r="29" spans="1:9" ht="16">
      <c r="A29" s="134" t="s">
        <v>28</v>
      </c>
      <c r="B29" s="155">
        <v>57</v>
      </c>
      <c r="C29" s="116">
        <v>1</v>
      </c>
      <c r="D29" s="111">
        <f t="shared" si="0"/>
        <v>6621.6216216216217</v>
      </c>
      <c r="E29" s="31">
        <f t="shared" si="1"/>
        <v>7475.9100642398289</v>
      </c>
      <c r="F29" s="102">
        <f t="shared" si="2"/>
        <v>14097.53168586145</v>
      </c>
      <c r="G29" s="227">
        <f t="shared" si="3"/>
        <v>2.8770472828288669E-2</v>
      </c>
      <c r="H29" s="230">
        <v>36750</v>
      </c>
      <c r="I29" s="231">
        <f t="shared" si="4"/>
        <v>50847.531685861453</v>
      </c>
    </row>
    <row r="30" spans="1:9" ht="16">
      <c r="A30" s="136" t="s">
        <v>61</v>
      </c>
      <c r="B30" s="155">
        <v>56</v>
      </c>
      <c r="C30" s="116">
        <v>1</v>
      </c>
      <c r="D30" s="111">
        <f t="shared" si="0"/>
        <v>6621.6216216216217</v>
      </c>
      <c r="E30" s="31">
        <f t="shared" si="1"/>
        <v>7344.7537473233406</v>
      </c>
      <c r="F30" s="102">
        <f t="shared" si="2"/>
        <v>13966.375368944962</v>
      </c>
      <c r="G30" s="227">
        <f t="shared" si="3"/>
        <v>2.8502806875397878E-2</v>
      </c>
      <c r="H30" s="230">
        <v>18500</v>
      </c>
      <c r="I30" s="231">
        <f t="shared" si="4"/>
        <v>32466.375368944962</v>
      </c>
    </row>
    <row r="31" spans="1:9" ht="16">
      <c r="A31" s="136" t="s">
        <v>24</v>
      </c>
      <c r="B31" s="155">
        <v>54</v>
      </c>
      <c r="C31" s="116">
        <v>1</v>
      </c>
      <c r="D31" s="111">
        <f t="shared" si="0"/>
        <v>6621.6216216216217</v>
      </c>
      <c r="E31" s="31">
        <f t="shared" si="1"/>
        <v>7082.4411134903639</v>
      </c>
      <c r="F31" s="102">
        <f t="shared" si="2"/>
        <v>13704.062735111986</v>
      </c>
      <c r="G31" s="227">
        <f t="shared" si="3"/>
        <v>2.7967474969616293E-2</v>
      </c>
      <c r="H31" s="230">
        <v>0</v>
      </c>
      <c r="I31" s="231">
        <f t="shared" si="4"/>
        <v>13704.062735111986</v>
      </c>
    </row>
    <row r="32" spans="1:9" ht="16">
      <c r="A32" s="134" t="s">
        <v>20</v>
      </c>
      <c r="B32" s="155">
        <v>26</v>
      </c>
      <c r="C32" s="116">
        <v>1</v>
      </c>
      <c r="D32" s="111">
        <f t="shared" si="0"/>
        <v>6621.6216216216217</v>
      </c>
      <c r="E32" s="31">
        <f t="shared" si="1"/>
        <v>3410.0642398286936</v>
      </c>
      <c r="F32" s="102">
        <f t="shared" si="2"/>
        <v>10031.685861450314</v>
      </c>
      <c r="G32" s="227">
        <f t="shared" si="3"/>
        <v>2.0472828288674107E-2</v>
      </c>
      <c r="H32" s="230">
        <v>6750</v>
      </c>
      <c r="I32" s="231">
        <f t="shared" si="4"/>
        <v>16781.685861450314</v>
      </c>
    </row>
    <row r="33" spans="1:9" ht="16">
      <c r="A33" s="134" t="s">
        <v>25</v>
      </c>
      <c r="B33" s="155">
        <v>32</v>
      </c>
      <c r="C33" s="116">
        <v>1</v>
      </c>
      <c r="D33" s="111">
        <f t="shared" si="0"/>
        <v>6621.6216216216217</v>
      </c>
      <c r="E33" s="31">
        <f t="shared" si="1"/>
        <v>4197.0021413276236</v>
      </c>
      <c r="F33" s="102">
        <f t="shared" si="2"/>
        <v>10818.623762949246</v>
      </c>
      <c r="G33" s="227">
        <f t="shared" si="3"/>
        <v>2.2078824006018866E-2</v>
      </c>
      <c r="H33" s="230">
        <v>0</v>
      </c>
      <c r="I33" s="231">
        <f t="shared" si="4"/>
        <v>10818.623762949246</v>
      </c>
    </row>
    <row r="34" spans="1:9" ht="16">
      <c r="A34" s="136" t="s">
        <v>74</v>
      </c>
      <c r="B34" s="155">
        <v>49</v>
      </c>
      <c r="C34" s="116">
        <v>1</v>
      </c>
      <c r="D34" s="111">
        <f t="shared" si="0"/>
        <v>6621.6216216216217</v>
      </c>
      <c r="E34" s="31">
        <f t="shared" si="1"/>
        <v>6426.6595289079232</v>
      </c>
      <c r="F34" s="102">
        <f t="shared" si="2"/>
        <v>13048.281150529545</v>
      </c>
      <c r="G34" s="227">
        <f t="shared" si="3"/>
        <v>2.6629145205162335E-2</v>
      </c>
      <c r="H34" s="230">
        <v>14750</v>
      </c>
      <c r="I34" s="231">
        <f t="shared" si="4"/>
        <v>27798.281150529547</v>
      </c>
    </row>
    <row r="35" spans="1:9" ht="16">
      <c r="A35" s="134" t="s">
        <v>73</v>
      </c>
      <c r="B35" s="155">
        <v>159</v>
      </c>
      <c r="C35" s="116">
        <v>1</v>
      </c>
      <c r="D35" s="111">
        <f t="shared" si="0"/>
        <v>6621.6216216216217</v>
      </c>
      <c r="E35" s="31">
        <f t="shared" si="1"/>
        <v>20853.854389721626</v>
      </c>
      <c r="F35" s="102">
        <f t="shared" si="2"/>
        <v>27475.476011343249</v>
      </c>
      <c r="G35" s="227">
        <f t="shared" si="3"/>
        <v>5.6072400023149484E-2</v>
      </c>
      <c r="H35" s="230">
        <v>0</v>
      </c>
      <c r="I35" s="231">
        <f t="shared" si="4"/>
        <v>27475.476011343249</v>
      </c>
    </row>
    <row r="36" spans="1:9" ht="16">
      <c r="A36" s="134" t="s">
        <v>23</v>
      </c>
      <c r="B36" s="155">
        <v>33</v>
      </c>
      <c r="C36" s="116">
        <v>1</v>
      </c>
      <c r="D36" s="111">
        <f t="shared" si="0"/>
        <v>6621.6216216216217</v>
      </c>
      <c r="E36" s="31">
        <f t="shared" si="1"/>
        <v>4328.158458244111</v>
      </c>
      <c r="F36" s="102">
        <f t="shared" si="2"/>
        <v>10949.780079865734</v>
      </c>
      <c r="G36" s="227">
        <f t="shared" si="3"/>
        <v>2.2346489958909657E-2</v>
      </c>
      <c r="H36" s="230">
        <v>0</v>
      </c>
      <c r="I36" s="231">
        <f t="shared" si="4"/>
        <v>10949.780079865734</v>
      </c>
    </row>
    <row r="37" spans="1:9" ht="16">
      <c r="A37" s="137" t="s">
        <v>27</v>
      </c>
      <c r="B37" s="155">
        <v>62</v>
      </c>
      <c r="C37" s="116">
        <v>1</v>
      </c>
      <c r="D37" s="111">
        <f t="shared" si="0"/>
        <v>6621.6216216216217</v>
      </c>
      <c r="E37" s="31">
        <f t="shared" si="1"/>
        <v>8131.6916488222696</v>
      </c>
      <c r="F37" s="102">
        <f t="shared" si="2"/>
        <v>14753.31327044389</v>
      </c>
      <c r="G37" s="227">
        <f t="shared" si="3"/>
        <v>3.010880259274263E-2</v>
      </c>
      <c r="H37" s="230">
        <v>14750</v>
      </c>
      <c r="I37" s="231">
        <f t="shared" si="4"/>
        <v>29503.31327044389</v>
      </c>
    </row>
    <row r="38" spans="1:9" ht="16">
      <c r="A38" s="134" t="s">
        <v>33</v>
      </c>
      <c r="B38" s="155">
        <v>50</v>
      </c>
      <c r="C38" s="116">
        <v>1</v>
      </c>
      <c r="D38" s="111">
        <f t="shared" si="0"/>
        <v>6621.6216216216217</v>
      </c>
      <c r="E38" s="31">
        <f t="shared" si="1"/>
        <v>6557.8158458244116</v>
      </c>
      <c r="F38" s="103">
        <f t="shared" si="2"/>
        <v>13179.437467446034</v>
      </c>
      <c r="G38" s="227">
        <f t="shared" si="3"/>
        <v>2.6896811158053129E-2</v>
      </c>
      <c r="H38" s="230">
        <v>0</v>
      </c>
      <c r="I38" s="231">
        <f t="shared" si="4"/>
        <v>13179.437467446034</v>
      </c>
    </row>
    <row r="39" spans="1:9" ht="16">
      <c r="A39" s="134" t="s">
        <v>64</v>
      </c>
      <c r="B39" s="155">
        <v>110</v>
      </c>
      <c r="C39" s="116">
        <v>1</v>
      </c>
      <c r="D39" s="111">
        <f t="shared" si="0"/>
        <v>6621.6216216216217</v>
      </c>
      <c r="E39" s="31">
        <f t="shared" si="1"/>
        <v>14427.194860813705</v>
      </c>
      <c r="F39" s="102">
        <f t="shared" si="2"/>
        <v>21048.816482435326</v>
      </c>
      <c r="G39" s="227">
        <f t="shared" si="3"/>
        <v>4.295676833150066E-2</v>
      </c>
      <c r="H39" s="230">
        <v>0</v>
      </c>
      <c r="I39" s="231">
        <f t="shared" si="4"/>
        <v>21048.816482435326</v>
      </c>
    </row>
    <row r="40" spans="1:9" ht="16">
      <c r="A40" s="134" t="s">
        <v>16</v>
      </c>
      <c r="B40" s="155">
        <v>45</v>
      </c>
      <c r="C40" s="116">
        <v>1</v>
      </c>
      <c r="D40" s="111">
        <f t="shared" si="0"/>
        <v>6621.6216216216217</v>
      </c>
      <c r="E40" s="31">
        <f t="shared" si="1"/>
        <v>5902.0342612419699</v>
      </c>
      <c r="F40" s="102">
        <f t="shared" si="2"/>
        <v>12523.655882863592</v>
      </c>
      <c r="G40" s="227">
        <f t="shared" si="3"/>
        <v>2.5558481393599165E-2</v>
      </c>
      <c r="H40" s="230">
        <v>6750</v>
      </c>
      <c r="I40" s="231">
        <f t="shared" si="4"/>
        <v>19273.65588286359</v>
      </c>
    </row>
    <row r="41" spans="1:9" ht="16">
      <c r="A41" s="134" t="s">
        <v>63</v>
      </c>
      <c r="B41" s="155">
        <v>53</v>
      </c>
      <c r="C41" s="116">
        <v>1</v>
      </c>
      <c r="D41" s="111">
        <f t="shared" si="0"/>
        <v>6621.6216216216217</v>
      </c>
      <c r="E41" s="31">
        <f t="shared" si="1"/>
        <v>6951.2847965738756</v>
      </c>
      <c r="F41" s="102">
        <f t="shared" si="2"/>
        <v>13572.906418195496</v>
      </c>
      <c r="G41" s="227">
        <f t="shared" si="3"/>
        <v>2.7699809016725498E-2</v>
      </c>
      <c r="H41" s="230">
        <v>15000</v>
      </c>
      <c r="I41" s="231">
        <f t="shared" si="4"/>
        <v>28572.906418195496</v>
      </c>
    </row>
    <row r="42" spans="1:9" ht="16">
      <c r="A42" s="134" t="s">
        <v>19</v>
      </c>
      <c r="B42" s="155">
        <v>42</v>
      </c>
      <c r="C42" s="116">
        <v>1</v>
      </c>
      <c r="D42" s="111">
        <f t="shared" si="0"/>
        <v>6621.6216216216217</v>
      </c>
      <c r="E42" s="31">
        <f t="shared" si="1"/>
        <v>5508.565310492505</v>
      </c>
      <c r="F42" s="102">
        <f t="shared" si="2"/>
        <v>12130.186932114128</v>
      </c>
      <c r="G42" s="227">
        <f t="shared" si="3"/>
        <v>2.4755483534926789E-2</v>
      </c>
      <c r="H42" s="230">
        <v>5500</v>
      </c>
      <c r="I42" s="231">
        <f t="shared" si="4"/>
        <v>17630.186932114128</v>
      </c>
    </row>
    <row r="43" spans="1:9" ht="16">
      <c r="A43" s="134" t="s">
        <v>29</v>
      </c>
      <c r="B43" s="156">
        <v>24</v>
      </c>
      <c r="C43" s="117">
        <v>1</v>
      </c>
      <c r="D43" s="111">
        <f t="shared" si="0"/>
        <v>6621.6216216216217</v>
      </c>
      <c r="E43" s="31">
        <f t="shared" si="1"/>
        <v>3147.7516059957175</v>
      </c>
      <c r="F43" s="102">
        <f t="shared" si="2"/>
        <v>9769.3732276173396</v>
      </c>
      <c r="G43" s="227">
        <f t="shared" si="3"/>
        <v>1.9937496382892526E-2</v>
      </c>
      <c r="H43" s="230">
        <v>0</v>
      </c>
      <c r="I43" s="231">
        <f t="shared" si="4"/>
        <v>9769.3732276173396</v>
      </c>
    </row>
    <row r="44" spans="1:9" ht="16">
      <c r="A44" s="138" t="s">
        <v>62</v>
      </c>
      <c r="B44" s="157">
        <v>21</v>
      </c>
      <c r="C44" s="118">
        <v>1</v>
      </c>
      <c r="D44" s="111">
        <f t="shared" si="0"/>
        <v>6621.6216216216217</v>
      </c>
      <c r="E44" s="31">
        <f t="shared" si="1"/>
        <v>2754.2826552462525</v>
      </c>
      <c r="F44" s="102">
        <f t="shared" si="2"/>
        <v>9375.9042768678737</v>
      </c>
      <c r="G44" s="227">
        <f t="shared" si="3"/>
        <v>1.913449852422015E-2</v>
      </c>
      <c r="H44" s="230">
        <v>0</v>
      </c>
      <c r="I44" s="231">
        <f t="shared" si="4"/>
        <v>9375.9042768678737</v>
      </c>
    </row>
    <row r="45" spans="1:9" ht="16">
      <c r="A45" s="138" t="s">
        <v>32</v>
      </c>
      <c r="B45" s="157">
        <v>34</v>
      </c>
      <c r="C45" s="118">
        <v>1</v>
      </c>
      <c r="D45" s="111">
        <f t="shared" si="0"/>
        <v>6621.6216216216217</v>
      </c>
      <c r="E45" s="31">
        <f t="shared" si="1"/>
        <v>4459.3147751605993</v>
      </c>
      <c r="F45" s="104">
        <f t="shared" si="2"/>
        <v>11080.936396782221</v>
      </c>
      <c r="G45" s="227">
        <f t="shared" si="3"/>
        <v>2.2614155911800448E-2</v>
      </c>
      <c r="H45" s="230">
        <v>1750</v>
      </c>
      <c r="I45" s="231">
        <f t="shared" si="4"/>
        <v>12830.936396782221</v>
      </c>
    </row>
    <row r="46" spans="1:9" ht="16">
      <c r="A46" s="134" t="s">
        <v>58</v>
      </c>
      <c r="B46" s="156">
        <v>15</v>
      </c>
      <c r="C46" s="117">
        <v>0</v>
      </c>
      <c r="D46" s="111">
        <f t="shared" si="0"/>
        <v>0</v>
      </c>
      <c r="E46" s="31">
        <f t="shared" si="1"/>
        <v>1967.3447537473232</v>
      </c>
      <c r="F46" s="102">
        <f t="shared" si="2"/>
        <v>1967.3447537473232</v>
      </c>
      <c r="G46" s="227">
        <f t="shared" si="3"/>
        <v>4.0149892933618835E-3</v>
      </c>
      <c r="H46" s="230">
        <v>0</v>
      </c>
      <c r="I46" s="231">
        <f t="shared" si="4"/>
        <v>1967.3447537473232</v>
      </c>
    </row>
    <row r="47" spans="1:9" ht="16">
      <c r="A47" s="134" t="s">
        <v>75</v>
      </c>
      <c r="B47" s="156">
        <v>10</v>
      </c>
      <c r="C47" s="117">
        <v>1</v>
      </c>
      <c r="D47" s="111">
        <f t="shared" si="0"/>
        <v>6621.6216216216217</v>
      </c>
      <c r="E47" s="31">
        <f t="shared" si="1"/>
        <v>1311.5631691648823</v>
      </c>
      <c r="F47" s="102">
        <f t="shared" si="2"/>
        <v>7933.184790786504</v>
      </c>
      <c r="G47" s="227">
        <f t="shared" si="3"/>
        <v>1.6190173042421433E-2</v>
      </c>
      <c r="H47" s="230">
        <v>0</v>
      </c>
      <c r="I47" s="231">
        <f t="shared" si="4"/>
        <v>7933.184790786504</v>
      </c>
    </row>
    <row r="48" spans="1:9" ht="16">
      <c r="A48" s="138" t="s">
        <v>76</v>
      </c>
      <c r="B48" s="158">
        <v>3</v>
      </c>
      <c r="C48" s="115">
        <v>1</v>
      </c>
      <c r="D48" s="111">
        <f t="shared" si="0"/>
        <v>6621.6216216216217</v>
      </c>
      <c r="E48" s="31">
        <f t="shared" si="1"/>
        <v>393.46895074946468</v>
      </c>
      <c r="F48" s="102">
        <f t="shared" si="2"/>
        <v>7015.0905723710866</v>
      </c>
      <c r="G48" s="227">
        <f t="shared" si="3"/>
        <v>1.431651137218589E-2</v>
      </c>
      <c r="H48" s="230">
        <v>0</v>
      </c>
      <c r="I48" s="231">
        <f t="shared" si="4"/>
        <v>7015.0905723710866</v>
      </c>
    </row>
    <row r="49" spans="1:9" ht="16">
      <c r="A49" s="134" t="s">
        <v>77</v>
      </c>
      <c r="B49" s="158">
        <v>0</v>
      </c>
      <c r="C49" s="115">
        <v>0</v>
      </c>
      <c r="D49" s="111">
        <f t="shared" si="0"/>
        <v>0</v>
      </c>
      <c r="E49" s="31">
        <f t="shared" si="1"/>
        <v>0</v>
      </c>
      <c r="F49" s="102">
        <f t="shared" si="2"/>
        <v>0</v>
      </c>
      <c r="G49" s="227">
        <f t="shared" si="3"/>
        <v>0</v>
      </c>
      <c r="H49" s="230">
        <v>0</v>
      </c>
      <c r="I49" s="231">
        <f t="shared" si="4"/>
        <v>0</v>
      </c>
    </row>
    <row r="50" spans="1:9" ht="16">
      <c r="A50" s="138" t="s">
        <v>65</v>
      </c>
      <c r="B50" s="158">
        <v>22</v>
      </c>
      <c r="C50" s="115">
        <v>1</v>
      </c>
      <c r="D50" s="111">
        <f t="shared" si="0"/>
        <v>6621.6216216216217</v>
      </c>
      <c r="E50" s="31">
        <f t="shared" si="1"/>
        <v>2885.4389721627408</v>
      </c>
      <c r="F50" s="102">
        <f t="shared" si="2"/>
        <v>9507.0605937843629</v>
      </c>
      <c r="G50" s="227">
        <f t="shared" si="3"/>
        <v>1.9402164477110944E-2</v>
      </c>
      <c r="H50" s="230">
        <v>14750</v>
      </c>
      <c r="I50" s="231">
        <f t="shared" si="4"/>
        <v>24257.060593784365</v>
      </c>
    </row>
    <row r="51" spans="1:9" ht="16">
      <c r="A51" s="139" t="s">
        <v>53</v>
      </c>
      <c r="B51" s="158">
        <v>12</v>
      </c>
      <c r="C51" s="115">
        <v>1</v>
      </c>
      <c r="D51" s="111">
        <f t="shared" si="0"/>
        <v>6621.6216216216217</v>
      </c>
      <c r="E51" s="31">
        <f t="shared" si="1"/>
        <v>1573.8758029978587</v>
      </c>
      <c r="F51" s="102">
        <f t="shared" si="2"/>
        <v>8195.4974246194797</v>
      </c>
      <c r="G51" s="227">
        <f t="shared" si="3"/>
        <v>1.6725504948203018E-2</v>
      </c>
      <c r="H51" s="230">
        <v>0</v>
      </c>
      <c r="I51" s="231">
        <f t="shared" si="4"/>
        <v>8195.4974246194797</v>
      </c>
    </row>
    <row r="52" spans="1:9" ht="16">
      <c r="A52" s="138" t="s">
        <v>56</v>
      </c>
      <c r="B52" s="158">
        <v>6</v>
      </c>
      <c r="C52" s="115">
        <v>1</v>
      </c>
      <c r="D52" s="111">
        <f t="shared" si="0"/>
        <v>6621.6216216216217</v>
      </c>
      <c r="E52" s="31">
        <f t="shared" si="1"/>
        <v>786.93790149892936</v>
      </c>
      <c r="F52" s="102">
        <f t="shared" si="2"/>
        <v>7408.5595231205507</v>
      </c>
      <c r="G52" s="227">
        <f t="shared" si="3"/>
        <v>1.5119509230858265E-2</v>
      </c>
      <c r="H52" s="230">
        <v>0</v>
      </c>
      <c r="I52" s="231">
        <f t="shared" si="4"/>
        <v>7408.5595231205507</v>
      </c>
    </row>
    <row r="53" spans="1:9" ht="16">
      <c r="A53" s="134" t="s">
        <v>59</v>
      </c>
      <c r="B53" s="158">
        <v>0</v>
      </c>
      <c r="C53" s="118">
        <v>0</v>
      </c>
      <c r="D53" s="111">
        <f t="shared" si="0"/>
        <v>0</v>
      </c>
      <c r="E53" s="31">
        <f t="shared" si="1"/>
        <v>0</v>
      </c>
      <c r="F53" s="102">
        <f t="shared" si="2"/>
        <v>0</v>
      </c>
      <c r="G53" s="227">
        <f t="shared" si="3"/>
        <v>0</v>
      </c>
      <c r="H53" s="230">
        <v>0</v>
      </c>
      <c r="I53" s="231">
        <f t="shared" si="4"/>
        <v>0</v>
      </c>
    </row>
    <row r="54" spans="1:9" ht="16">
      <c r="A54" s="134" t="s">
        <v>148</v>
      </c>
      <c r="B54" s="158">
        <v>1</v>
      </c>
      <c r="C54" s="118">
        <v>1</v>
      </c>
      <c r="D54" s="111">
        <f t="shared" si="0"/>
        <v>6621.6216216216217</v>
      </c>
      <c r="E54" s="31">
        <f t="shared" si="1"/>
        <v>131.15631691648824</v>
      </c>
      <c r="F54" s="102">
        <f t="shared" si="2"/>
        <v>6752.77793853811</v>
      </c>
      <c r="G54" s="227">
        <f t="shared" si="3"/>
        <v>1.3781179466404305E-2</v>
      </c>
      <c r="H54" s="230">
        <v>0</v>
      </c>
      <c r="I54" s="231">
        <f t="shared" si="4"/>
        <v>6752.77793853811</v>
      </c>
    </row>
    <row r="55" spans="1:9" ht="16">
      <c r="A55" s="207" t="s">
        <v>35</v>
      </c>
      <c r="B55" s="158">
        <v>1</v>
      </c>
      <c r="C55" s="117">
        <v>1</v>
      </c>
      <c r="D55" s="111">
        <f t="shared" si="0"/>
        <v>6621.6216216216217</v>
      </c>
      <c r="E55" s="31">
        <f t="shared" si="1"/>
        <v>131.15631691648824</v>
      </c>
      <c r="F55" s="102">
        <f t="shared" si="2"/>
        <v>6752.77793853811</v>
      </c>
      <c r="G55" s="227">
        <f t="shared" si="3"/>
        <v>1.3781179466404305E-2</v>
      </c>
      <c r="H55" s="230">
        <v>0</v>
      </c>
      <c r="I55" s="231">
        <f t="shared" si="4"/>
        <v>6752.77793853811</v>
      </c>
    </row>
    <row r="56" spans="1:9" ht="16">
      <c r="A56" s="207" t="s">
        <v>78</v>
      </c>
      <c r="B56" s="158">
        <v>4</v>
      </c>
      <c r="C56" s="117">
        <v>1</v>
      </c>
      <c r="D56" s="111">
        <f t="shared" si="0"/>
        <v>6621.6216216216217</v>
      </c>
      <c r="E56" s="31">
        <f t="shared" si="1"/>
        <v>524.62526766595295</v>
      </c>
      <c r="F56" s="102">
        <f t="shared" si="2"/>
        <v>7146.246889287575</v>
      </c>
      <c r="G56" s="227">
        <f t="shared" si="3"/>
        <v>1.4584177325076681E-2</v>
      </c>
      <c r="H56" s="230">
        <v>0</v>
      </c>
      <c r="I56" s="231">
        <f t="shared" si="4"/>
        <v>7146.246889287575</v>
      </c>
    </row>
    <row r="57" spans="1:9" ht="16">
      <c r="A57" s="207" t="s">
        <v>149</v>
      </c>
      <c r="B57" s="158">
        <v>2</v>
      </c>
      <c r="C57" s="117">
        <v>1</v>
      </c>
      <c r="D57" s="111">
        <f t="shared" si="0"/>
        <v>6621.6216216216217</v>
      </c>
      <c r="E57" s="31">
        <f t="shared" si="1"/>
        <v>262.31263383297647</v>
      </c>
      <c r="F57" s="102">
        <f t="shared" si="2"/>
        <v>6883.9342554545983</v>
      </c>
      <c r="G57" s="227">
        <f t="shared" si="3"/>
        <v>1.4048845419295098E-2</v>
      </c>
      <c r="H57" s="230">
        <v>0</v>
      </c>
      <c r="I57" s="231">
        <f t="shared" si="4"/>
        <v>6883.9342554545983</v>
      </c>
    </row>
    <row r="58" spans="1:9" ht="16">
      <c r="A58" s="124" t="s">
        <v>117</v>
      </c>
      <c r="B58" s="156">
        <v>0</v>
      </c>
      <c r="C58" s="208">
        <v>0</v>
      </c>
      <c r="D58" s="209">
        <f t="shared" si="0"/>
        <v>0</v>
      </c>
      <c r="E58" s="31">
        <f t="shared" si="1"/>
        <v>0</v>
      </c>
      <c r="F58" s="102">
        <f t="shared" si="2"/>
        <v>0</v>
      </c>
      <c r="G58" s="227">
        <f t="shared" si="3"/>
        <v>0</v>
      </c>
      <c r="H58" s="230">
        <v>0</v>
      </c>
      <c r="I58" s="231">
        <f t="shared" si="4"/>
        <v>0</v>
      </c>
    </row>
    <row r="59" spans="1:9" ht="17" thickBot="1">
      <c r="A59" s="140" t="s">
        <v>150</v>
      </c>
      <c r="B59" s="159">
        <v>67</v>
      </c>
      <c r="C59" s="125">
        <v>1</v>
      </c>
      <c r="D59" s="122">
        <f t="shared" si="0"/>
        <v>6621.6216216216217</v>
      </c>
      <c r="E59" s="50">
        <f t="shared" si="1"/>
        <v>8787.4732334047112</v>
      </c>
      <c r="F59" s="114">
        <f t="shared" si="2"/>
        <v>15409.094855026333</v>
      </c>
      <c r="G59" s="232">
        <f t="shared" si="3"/>
        <v>3.1447132357196594E-2</v>
      </c>
      <c r="H59" s="233">
        <v>0</v>
      </c>
      <c r="I59" s="234">
        <f t="shared" si="4"/>
        <v>15409.094855026333</v>
      </c>
    </row>
    <row r="60" spans="1:9" ht="17" thickBot="1">
      <c r="A60" s="61"/>
      <c r="B60" s="127"/>
      <c r="C60" s="60"/>
      <c r="D60" s="57"/>
      <c r="E60" s="57"/>
      <c r="F60" s="91"/>
    </row>
    <row r="61" spans="1:9" ht="17" thickBot="1">
      <c r="A61" s="54" t="s">
        <v>36</v>
      </c>
      <c r="B61" s="128">
        <f t="shared" ref="B61:G61" si="5">SUM(B19:B59)</f>
        <v>1868</v>
      </c>
      <c r="C61" s="119">
        <f t="shared" si="5"/>
        <v>37</v>
      </c>
      <c r="D61" s="31">
        <f t="shared" si="5"/>
        <v>245000.00000000015</v>
      </c>
      <c r="E61" s="31">
        <f t="shared" si="5"/>
        <v>244999.99999999997</v>
      </c>
      <c r="F61" s="120">
        <f t="shared" si="5"/>
        <v>490000.00000000006</v>
      </c>
      <c r="G61" s="98">
        <f t="shared" si="5"/>
        <v>0.99999999999999978</v>
      </c>
      <c r="H61" s="235">
        <f>SUM(H19:H59)</f>
        <v>300000</v>
      </c>
      <c r="I61" s="236">
        <f>SUM(I19:I59)</f>
        <v>789999.99999999988</v>
      </c>
    </row>
    <row r="62" spans="1:9" ht="16">
      <c r="A62" s="153" t="s">
        <v>179</v>
      </c>
      <c r="B62" s="60"/>
      <c r="C62" s="60"/>
      <c r="D62" s="31">
        <f>F12*D17</f>
        <v>245000</v>
      </c>
      <c r="E62" s="31">
        <f>F12*E17</f>
        <v>245000</v>
      </c>
      <c r="F62" s="31"/>
      <c r="G62"/>
    </row>
    <row r="63" spans="1:9" ht="16">
      <c r="A63" s="61"/>
      <c r="B63" s="92"/>
      <c r="C63" s="92"/>
      <c r="D63" s="63"/>
      <c r="E63" s="109">
        <f>E61+D61</f>
        <v>490000.00000000012</v>
      </c>
      <c r="F63" s="63"/>
      <c r="G63"/>
    </row>
    <row r="64" spans="1:9" ht="13.5" customHeight="1">
      <c r="D64" s="65"/>
      <c r="E64" s="65"/>
      <c r="F64" s="65"/>
      <c r="G64"/>
    </row>
    <row r="65" spans="1:7">
      <c r="A65" s="5" t="s">
        <v>180</v>
      </c>
      <c r="D65" s="68"/>
      <c r="E65" s="68"/>
      <c r="F65" s="68"/>
      <c r="G65"/>
    </row>
  </sheetData>
  <autoFilter ref="A18:G18" xr:uid="{00000000-0009-0000-0000-00000E000000}">
    <sortState ref="A17:G53">
      <sortCondition descending="1" ref="F16"/>
    </sortState>
  </autoFilter>
  <mergeCells count="3">
    <mergeCell ref="A1:F3"/>
    <mergeCell ref="B9:F9"/>
    <mergeCell ref="D16:F16"/>
  </mergeCells>
  <pageMargins left="0.7" right="0.7" top="0.78740157499999996" bottom="0.78740157499999996" header="0.3" footer="0.3"/>
  <pageSetup paperSize="9" scale="50" orientation="portrait" r:id="rId1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G64"/>
  <sheetViews>
    <sheetView zoomScale="80" zoomScaleNormal="80" workbookViewId="0">
      <selection activeCell="A6" sqref="A6"/>
    </sheetView>
  </sheetViews>
  <sheetFormatPr baseColWidth="10" defaultColWidth="8.83203125" defaultRowHeight="15"/>
  <cols>
    <col min="1" max="1" width="45.5" customWidth="1"/>
    <col min="2" max="2" width="18.1640625" style="2" customWidth="1"/>
    <col min="3" max="3" width="8.33203125" style="2" customWidth="1"/>
    <col min="4" max="4" width="15" customWidth="1"/>
    <col min="5" max="5" width="15.5" customWidth="1"/>
    <col min="6" max="6" width="13.83203125" customWidth="1"/>
    <col min="7" max="7" width="8.5" style="94" customWidth="1"/>
    <col min="8" max="8" width="16.6640625" customWidth="1"/>
  </cols>
  <sheetData>
    <row r="1" spans="1:7" ht="18.75" customHeight="1">
      <c r="A1" s="266" t="s">
        <v>183</v>
      </c>
      <c r="B1" s="266"/>
      <c r="C1" s="266"/>
      <c r="D1" s="266"/>
      <c r="E1" s="266"/>
      <c r="F1" s="266"/>
    </row>
    <row r="2" spans="1:7" ht="10.5" customHeight="1">
      <c r="A2" s="266"/>
      <c r="B2" s="266"/>
      <c r="C2" s="266"/>
      <c r="D2" s="266"/>
      <c r="E2" s="266"/>
      <c r="F2" s="266"/>
    </row>
    <row r="3" spans="1:7" ht="8.25" customHeight="1">
      <c r="A3" s="266"/>
      <c r="B3" s="266"/>
      <c r="C3" s="266"/>
      <c r="D3" s="266"/>
      <c r="E3" s="266"/>
      <c r="F3" s="266"/>
    </row>
    <row r="4" spans="1:7" ht="16">
      <c r="A4" s="3" t="s">
        <v>184</v>
      </c>
    </row>
    <row r="5" spans="1:7">
      <c r="A5" s="5" t="s">
        <v>194</v>
      </c>
    </row>
    <row r="6" spans="1:7" ht="9" customHeight="1">
      <c r="A6" s="5"/>
    </row>
    <row r="7" spans="1:7" ht="91" thickBot="1">
      <c r="A7" s="126" t="s">
        <v>186</v>
      </c>
    </row>
    <row r="8" spans="1:7" ht="17" thickBot="1">
      <c r="B8" s="267" t="s">
        <v>54</v>
      </c>
      <c r="C8" s="268"/>
      <c r="D8" s="268"/>
      <c r="E8" s="268"/>
      <c r="F8" s="269"/>
    </row>
    <row r="9" spans="1:7" ht="17" thickBot="1">
      <c r="B9" s="161" t="s">
        <v>187</v>
      </c>
      <c r="C9" s="162"/>
      <c r="D9" s="162"/>
      <c r="E9" s="162"/>
      <c r="F9" s="93">
        <v>2032500</v>
      </c>
    </row>
    <row r="10" spans="1:7" ht="16" thickBot="1">
      <c r="B10" s="163"/>
    </row>
    <row r="11" spans="1:7" ht="16.5" customHeight="1" thickBot="1">
      <c r="B11" s="164" t="s">
        <v>188</v>
      </c>
      <c r="C11" s="105"/>
      <c r="D11" s="105"/>
      <c r="E11" s="106"/>
      <c r="F11" s="165">
        <v>632500</v>
      </c>
    </row>
    <row r="12" spans="1:7" ht="16.5" customHeight="1" thickBot="1">
      <c r="A12" s="99"/>
      <c r="B12" s="164" t="s">
        <v>189</v>
      </c>
      <c r="C12" s="166"/>
      <c r="D12" s="166"/>
      <c r="E12" s="166"/>
      <c r="F12" s="165">
        <v>1400000</v>
      </c>
      <c r="G12" s="223"/>
    </row>
    <row r="13" spans="1:7" ht="16.5" customHeight="1">
      <c r="A13" s="99"/>
      <c r="B13" s="99"/>
      <c r="C13" s="99"/>
      <c r="D13" s="100"/>
    </row>
    <row r="14" spans="1:7" s="11" customFormat="1" ht="16.5" customHeight="1" thickBot="1">
      <c r="A14" s="9"/>
      <c r="B14" s="10"/>
      <c r="C14" s="10"/>
      <c r="E14" s="12"/>
      <c r="F14" s="13"/>
      <c r="G14" s="95"/>
    </row>
    <row r="15" spans="1:7" s="9" customFormat="1" ht="65.25" customHeight="1" thickBot="1">
      <c r="B15" s="237" t="s">
        <v>190</v>
      </c>
      <c r="C15" s="237" t="s">
        <v>68</v>
      </c>
      <c r="D15" s="261" t="s">
        <v>191</v>
      </c>
      <c r="E15" s="262"/>
      <c r="F15" s="263"/>
      <c r="G15" s="96"/>
    </row>
    <row r="16" spans="1:7" s="20" customFormat="1" ht="17" thickBot="1">
      <c r="B16" s="107"/>
      <c r="C16" s="237"/>
      <c r="D16" s="17">
        <v>0.5</v>
      </c>
      <c r="E16" s="18">
        <f>1-D16</f>
        <v>0.5</v>
      </c>
      <c r="F16" s="108"/>
      <c r="G16" s="97"/>
    </row>
    <row r="17" spans="1:7" s="20" customFormat="1" ht="17" thickBot="1">
      <c r="A17" s="112" t="s">
        <v>66</v>
      </c>
      <c r="B17" s="107">
        <v>2016</v>
      </c>
      <c r="C17" s="237"/>
      <c r="D17" s="17" t="s">
        <v>4</v>
      </c>
      <c r="E17" s="18" t="s">
        <v>5</v>
      </c>
      <c r="F17" s="108" t="s">
        <v>6</v>
      </c>
      <c r="G17" s="113" t="s">
        <v>67</v>
      </c>
    </row>
    <row r="18" spans="1:7" ht="16">
      <c r="A18" s="135" t="s">
        <v>7</v>
      </c>
      <c r="B18" s="154">
        <v>74</v>
      </c>
      <c r="C18" s="118">
        <v>1</v>
      </c>
      <c r="D18" s="111">
        <f t="shared" ref="D18:D58" si="0">$F$11*$D$16/$C$60*C18</f>
        <v>8322.3684210526317</v>
      </c>
      <c r="E18" s="31">
        <f t="shared" ref="E18:E58" si="1">$F$11*$E$16*B18/$B$60</f>
        <v>11023.316062176165</v>
      </c>
      <c r="F18" s="102">
        <f t="shared" ref="F18:F58" si="2">(D18+E18)</f>
        <v>19345.684483228797</v>
      </c>
      <c r="G18" s="121">
        <f t="shared" ref="G18:G58" si="3">F18/$F$60</f>
        <v>3.0586062424077159E-2</v>
      </c>
    </row>
    <row r="19" spans="1:7" ht="16.5" customHeight="1">
      <c r="A19" s="134" t="s">
        <v>11</v>
      </c>
      <c r="B19" s="155">
        <v>88</v>
      </c>
      <c r="C19" s="116">
        <v>1</v>
      </c>
      <c r="D19" s="111">
        <f t="shared" si="0"/>
        <v>8322.3684210526317</v>
      </c>
      <c r="E19" s="31">
        <f t="shared" si="1"/>
        <v>13108.808290155441</v>
      </c>
      <c r="F19" s="102">
        <f t="shared" si="2"/>
        <v>21431.176711208071</v>
      </c>
      <c r="G19" s="121">
        <f t="shared" si="3"/>
        <v>3.3883283337878385E-2</v>
      </c>
    </row>
    <row r="20" spans="1:7" ht="16">
      <c r="A20" s="136" t="s">
        <v>12</v>
      </c>
      <c r="B20" s="155">
        <v>160</v>
      </c>
      <c r="C20" s="116">
        <v>1</v>
      </c>
      <c r="D20" s="111">
        <f t="shared" si="0"/>
        <v>8322.3684210526317</v>
      </c>
      <c r="E20" s="31">
        <f t="shared" si="1"/>
        <v>23834.19689119171</v>
      </c>
      <c r="F20" s="102">
        <f t="shared" si="2"/>
        <v>32156.56531224434</v>
      </c>
      <c r="G20" s="121">
        <f t="shared" si="3"/>
        <v>5.0840419465998973E-2</v>
      </c>
    </row>
    <row r="21" spans="1:7" ht="16">
      <c r="A21" s="136" t="s">
        <v>57</v>
      </c>
      <c r="B21" s="155">
        <v>169</v>
      </c>
      <c r="C21" s="116">
        <v>1</v>
      </c>
      <c r="D21" s="111">
        <f t="shared" si="0"/>
        <v>8322.3684210526317</v>
      </c>
      <c r="E21" s="31">
        <f t="shared" si="1"/>
        <v>25174.870466321245</v>
      </c>
      <c r="F21" s="102">
        <f t="shared" si="2"/>
        <v>33497.238887373875</v>
      </c>
      <c r="G21" s="121">
        <f t="shared" si="3"/>
        <v>5.2960061482014049E-2</v>
      </c>
    </row>
    <row r="22" spans="1:7" ht="16">
      <c r="A22" s="134" t="s">
        <v>8</v>
      </c>
      <c r="B22" s="155">
        <v>87</v>
      </c>
      <c r="C22" s="116">
        <v>1</v>
      </c>
      <c r="D22" s="111">
        <f t="shared" si="0"/>
        <v>8322.3684210526317</v>
      </c>
      <c r="E22" s="31">
        <f t="shared" si="1"/>
        <v>12959.844559585492</v>
      </c>
      <c r="F22" s="102">
        <f t="shared" si="2"/>
        <v>21282.212980638124</v>
      </c>
      <c r="G22" s="121">
        <f t="shared" si="3"/>
        <v>3.3647767558321155E-2</v>
      </c>
    </row>
    <row r="23" spans="1:7" ht="16.5" customHeight="1">
      <c r="A23" s="134" t="s">
        <v>69</v>
      </c>
      <c r="B23" s="155">
        <v>80</v>
      </c>
      <c r="C23" s="116">
        <v>1</v>
      </c>
      <c r="D23" s="111">
        <f t="shared" si="0"/>
        <v>8322.3684210526317</v>
      </c>
      <c r="E23" s="31">
        <f t="shared" si="1"/>
        <v>11917.098445595855</v>
      </c>
      <c r="F23" s="102">
        <f t="shared" si="2"/>
        <v>20239.466866648487</v>
      </c>
      <c r="G23" s="121">
        <f t="shared" si="3"/>
        <v>3.1999157101420546E-2</v>
      </c>
    </row>
    <row r="24" spans="1:7" ht="16.5" customHeight="1">
      <c r="A24" s="134" t="s">
        <v>13</v>
      </c>
      <c r="B24" s="155">
        <v>80</v>
      </c>
      <c r="C24" s="116">
        <v>1</v>
      </c>
      <c r="D24" s="111">
        <f t="shared" si="0"/>
        <v>8322.3684210526317</v>
      </c>
      <c r="E24" s="31">
        <f t="shared" si="1"/>
        <v>11917.098445595855</v>
      </c>
      <c r="F24" s="102">
        <f t="shared" si="2"/>
        <v>20239.466866648487</v>
      </c>
      <c r="G24" s="121">
        <f t="shared" si="3"/>
        <v>3.1999157101420546E-2</v>
      </c>
    </row>
    <row r="25" spans="1:7" ht="16">
      <c r="A25" s="134" t="s">
        <v>60</v>
      </c>
      <c r="B25" s="155">
        <v>57</v>
      </c>
      <c r="C25" s="116">
        <v>1</v>
      </c>
      <c r="D25" s="111">
        <f t="shared" si="0"/>
        <v>8322.3684210526317</v>
      </c>
      <c r="E25" s="31">
        <f t="shared" si="1"/>
        <v>8490.9326424870469</v>
      </c>
      <c r="F25" s="102">
        <f t="shared" si="2"/>
        <v>16813.301063539679</v>
      </c>
      <c r="G25" s="121">
        <f t="shared" si="3"/>
        <v>2.6582294171604244E-2</v>
      </c>
    </row>
    <row r="26" spans="1:7" ht="16">
      <c r="A26" s="136" t="s">
        <v>10</v>
      </c>
      <c r="B26" s="155">
        <v>126</v>
      </c>
      <c r="C26" s="116">
        <v>1</v>
      </c>
      <c r="D26" s="111">
        <f t="shared" si="0"/>
        <v>8322.3684210526317</v>
      </c>
      <c r="E26" s="31">
        <f t="shared" si="1"/>
        <v>18769.430051813473</v>
      </c>
      <c r="F26" s="102">
        <f t="shared" si="2"/>
        <v>27091.798472866103</v>
      </c>
      <c r="G26" s="121">
        <f t="shared" si="3"/>
        <v>4.2832882961053143E-2</v>
      </c>
    </row>
    <row r="27" spans="1:7" ht="16">
      <c r="A27" s="134" t="s">
        <v>21</v>
      </c>
      <c r="B27" s="155">
        <v>35</v>
      </c>
      <c r="C27" s="116">
        <v>1</v>
      </c>
      <c r="D27" s="111">
        <f t="shared" si="0"/>
        <v>8322.3684210526317</v>
      </c>
      <c r="E27" s="31">
        <f t="shared" si="1"/>
        <v>5213.7305699481867</v>
      </c>
      <c r="F27" s="102">
        <f t="shared" si="2"/>
        <v>13536.098991000817</v>
      </c>
      <c r="G27" s="121">
        <f t="shared" si="3"/>
        <v>2.1400947021345172E-2</v>
      </c>
    </row>
    <row r="28" spans="1:7" ht="16">
      <c r="A28" s="134" t="s">
        <v>28</v>
      </c>
      <c r="B28" s="155">
        <v>61</v>
      </c>
      <c r="C28" s="116">
        <v>1</v>
      </c>
      <c r="D28" s="111">
        <f t="shared" si="0"/>
        <v>8322.3684210526317</v>
      </c>
      <c r="E28" s="31">
        <f t="shared" si="1"/>
        <v>9086.7875647668388</v>
      </c>
      <c r="F28" s="102">
        <f t="shared" si="2"/>
        <v>17409.155985819471</v>
      </c>
      <c r="G28" s="121">
        <f t="shared" si="3"/>
        <v>2.7524357289833164E-2</v>
      </c>
    </row>
    <row r="29" spans="1:7" ht="16">
      <c r="A29" s="136" t="s">
        <v>61</v>
      </c>
      <c r="B29" s="155">
        <v>76</v>
      </c>
      <c r="C29" s="116">
        <v>1</v>
      </c>
      <c r="D29" s="111">
        <f t="shared" si="0"/>
        <v>8322.3684210526317</v>
      </c>
      <c r="E29" s="31">
        <f t="shared" si="1"/>
        <v>11321.243523316061</v>
      </c>
      <c r="F29" s="102">
        <f t="shared" si="2"/>
        <v>19643.611944368691</v>
      </c>
      <c r="G29" s="121">
        <f t="shared" si="3"/>
        <v>3.1057093983191619E-2</v>
      </c>
    </row>
    <row r="30" spans="1:7" ht="16">
      <c r="A30" s="136" t="s">
        <v>24</v>
      </c>
      <c r="B30" s="155">
        <v>55</v>
      </c>
      <c r="C30" s="116">
        <v>1</v>
      </c>
      <c r="D30" s="111">
        <f t="shared" si="0"/>
        <v>8322.3684210526317</v>
      </c>
      <c r="E30" s="31">
        <f t="shared" si="1"/>
        <v>8193.0051813471509</v>
      </c>
      <c r="F30" s="102">
        <f t="shared" si="2"/>
        <v>16515.373602399784</v>
      </c>
      <c r="G30" s="121">
        <f t="shared" si="3"/>
        <v>2.6111262612489788E-2</v>
      </c>
    </row>
    <row r="31" spans="1:7" ht="16">
      <c r="A31" s="134" t="s">
        <v>20</v>
      </c>
      <c r="B31" s="155">
        <v>29</v>
      </c>
      <c r="C31" s="116">
        <v>1</v>
      </c>
      <c r="D31" s="111">
        <f t="shared" si="0"/>
        <v>8322.3684210526317</v>
      </c>
      <c r="E31" s="31">
        <f t="shared" si="1"/>
        <v>4319.948186528497</v>
      </c>
      <c r="F31" s="102">
        <f t="shared" si="2"/>
        <v>12642.316607581128</v>
      </c>
      <c r="G31" s="121">
        <f t="shared" si="3"/>
        <v>1.9987852344001789E-2</v>
      </c>
    </row>
    <row r="32" spans="1:7" ht="16">
      <c r="A32" s="134" t="s">
        <v>25</v>
      </c>
      <c r="B32" s="155">
        <v>35</v>
      </c>
      <c r="C32" s="116">
        <v>1</v>
      </c>
      <c r="D32" s="111">
        <f t="shared" si="0"/>
        <v>8322.3684210526317</v>
      </c>
      <c r="E32" s="31">
        <f t="shared" si="1"/>
        <v>5213.7305699481867</v>
      </c>
      <c r="F32" s="102">
        <f t="shared" si="2"/>
        <v>13536.098991000817</v>
      </c>
      <c r="G32" s="121">
        <f t="shared" si="3"/>
        <v>2.1400947021345172E-2</v>
      </c>
    </row>
    <row r="33" spans="1:7" ht="16">
      <c r="A33" s="136" t="s">
        <v>74</v>
      </c>
      <c r="B33" s="155">
        <v>58</v>
      </c>
      <c r="C33" s="116">
        <v>1</v>
      </c>
      <c r="D33" s="111">
        <f t="shared" si="0"/>
        <v>8322.3684210526317</v>
      </c>
      <c r="E33" s="31">
        <f t="shared" si="1"/>
        <v>8639.896373056994</v>
      </c>
      <c r="F33" s="102">
        <f t="shared" si="2"/>
        <v>16962.264794109626</v>
      </c>
      <c r="G33" s="121">
        <f t="shared" si="3"/>
        <v>2.6817809951161474E-2</v>
      </c>
    </row>
    <row r="34" spans="1:7" ht="16">
      <c r="A34" s="134" t="s">
        <v>73</v>
      </c>
      <c r="B34" s="155">
        <v>155</v>
      </c>
      <c r="C34" s="116">
        <v>1</v>
      </c>
      <c r="D34" s="111">
        <f t="shared" si="0"/>
        <v>8322.3684210526317</v>
      </c>
      <c r="E34" s="31">
        <f t="shared" si="1"/>
        <v>23089.378238341968</v>
      </c>
      <c r="F34" s="102">
        <f t="shared" si="2"/>
        <v>31411.746659394601</v>
      </c>
      <c r="G34" s="121">
        <f t="shared" si="3"/>
        <v>4.9662840568212824E-2</v>
      </c>
    </row>
    <row r="35" spans="1:7" ht="16">
      <c r="A35" s="134" t="s">
        <v>23</v>
      </c>
      <c r="B35" s="155">
        <v>35</v>
      </c>
      <c r="C35" s="116">
        <v>1</v>
      </c>
      <c r="D35" s="111">
        <f t="shared" si="0"/>
        <v>8322.3684210526317</v>
      </c>
      <c r="E35" s="31">
        <f t="shared" si="1"/>
        <v>5213.7305699481867</v>
      </c>
      <c r="F35" s="102">
        <f t="shared" si="2"/>
        <v>13536.098991000817</v>
      </c>
      <c r="G35" s="121">
        <f t="shared" si="3"/>
        <v>2.1400947021345172E-2</v>
      </c>
    </row>
    <row r="36" spans="1:7" ht="16">
      <c r="A36" s="137" t="s">
        <v>27</v>
      </c>
      <c r="B36" s="155">
        <v>62</v>
      </c>
      <c r="C36" s="116">
        <v>1</v>
      </c>
      <c r="D36" s="111">
        <f t="shared" si="0"/>
        <v>8322.3684210526317</v>
      </c>
      <c r="E36" s="31">
        <f t="shared" si="1"/>
        <v>9235.7512953367877</v>
      </c>
      <c r="F36" s="102">
        <f t="shared" si="2"/>
        <v>17558.119716389418</v>
      </c>
      <c r="G36" s="121">
        <f t="shared" si="3"/>
        <v>2.7759873069390394E-2</v>
      </c>
    </row>
    <row r="37" spans="1:7" ht="16">
      <c r="A37" s="134" t="s">
        <v>33</v>
      </c>
      <c r="B37" s="155">
        <v>62</v>
      </c>
      <c r="C37" s="116">
        <v>1</v>
      </c>
      <c r="D37" s="111">
        <f t="shared" si="0"/>
        <v>8322.3684210526317</v>
      </c>
      <c r="E37" s="31">
        <f t="shared" si="1"/>
        <v>9235.7512953367877</v>
      </c>
      <c r="F37" s="103">
        <f t="shared" si="2"/>
        <v>17558.119716389418</v>
      </c>
      <c r="G37" s="121">
        <f t="shared" si="3"/>
        <v>2.7759873069390394E-2</v>
      </c>
    </row>
    <row r="38" spans="1:7" ht="16">
      <c r="A38" s="134" t="s">
        <v>64</v>
      </c>
      <c r="B38" s="155">
        <v>123</v>
      </c>
      <c r="C38" s="116">
        <v>1</v>
      </c>
      <c r="D38" s="111">
        <f t="shared" si="0"/>
        <v>8322.3684210526317</v>
      </c>
      <c r="E38" s="31">
        <f t="shared" si="1"/>
        <v>18322.538860103628</v>
      </c>
      <c r="F38" s="102">
        <f t="shared" si="2"/>
        <v>26644.907281156258</v>
      </c>
      <c r="G38" s="121">
        <f t="shared" si="3"/>
        <v>4.2126335622381453E-2</v>
      </c>
    </row>
    <row r="39" spans="1:7" ht="16">
      <c r="A39" s="134" t="s">
        <v>16</v>
      </c>
      <c r="B39" s="155">
        <v>49</v>
      </c>
      <c r="C39" s="116">
        <v>1</v>
      </c>
      <c r="D39" s="111">
        <f t="shared" si="0"/>
        <v>8322.3684210526317</v>
      </c>
      <c r="E39" s="31">
        <f t="shared" si="1"/>
        <v>7299.2227979274612</v>
      </c>
      <c r="F39" s="102">
        <f t="shared" si="2"/>
        <v>15621.591218980093</v>
      </c>
      <c r="G39" s="121">
        <f t="shared" si="3"/>
        <v>2.4698167935146401E-2</v>
      </c>
    </row>
    <row r="40" spans="1:7" ht="16">
      <c r="A40" s="134" t="s">
        <v>63</v>
      </c>
      <c r="B40" s="155">
        <v>68</v>
      </c>
      <c r="C40" s="116">
        <v>1</v>
      </c>
      <c r="D40" s="111">
        <f t="shared" si="0"/>
        <v>8322.3684210526317</v>
      </c>
      <c r="E40" s="31">
        <f t="shared" si="1"/>
        <v>10129.533678756477</v>
      </c>
      <c r="F40" s="102">
        <f t="shared" si="2"/>
        <v>18451.902099809107</v>
      </c>
      <c r="G40" s="121">
        <f t="shared" si="3"/>
        <v>2.9172967746733777E-2</v>
      </c>
    </row>
    <row r="41" spans="1:7" ht="16">
      <c r="A41" s="134" t="s">
        <v>19</v>
      </c>
      <c r="B41" s="155">
        <v>42</v>
      </c>
      <c r="C41" s="116">
        <v>1</v>
      </c>
      <c r="D41" s="111">
        <f t="shared" si="0"/>
        <v>8322.3684210526317</v>
      </c>
      <c r="E41" s="31">
        <f t="shared" si="1"/>
        <v>6256.4766839378235</v>
      </c>
      <c r="F41" s="102">
        <f t="shared" si="2"/>
        <v>14578.845104990454</v>
      </c>
      <c r="G41" s="121">
        <f t="shared" si="3"/>
        <v>2.3049557478245785E-2</v>
      </c>
    </row>
    <row r="42" spans="1:7" ht="16">
      <c r="A42" s="134" t="s">
        <v>29</v>
      </c>
      <c r="B42" s="156">
        <v>42</v>
      </c>
      <c r="C42" s="117">
        <v>1</v>
      </c>
      <c r="D42" s="111">
        <f t="shared" si="0"/>
        <v>8322.3684210526317</v>
      </c>
      <c r="E42" s="31">
        <f t="shared" si="1"/>
        <v>6256.4766839378235</v>
      </c>
      <c r="F42" s="102">
        <f t="shared" si="2"/>
        <v>14578.845104990454</v>
      </c>
      <c r="G42" s="121">
        <f t="shared" si="3"/>
        <v>2.3049557478245785E-2</v>
      </c>
    </row>
    <row r="43" spans="1:7" ht="16">
      <c r="A43" s="138" t="s">
        <v>62</v>
      </c>
      <c r="B43" s="157">
        <v>21</v>
      </c>
      <c r="C43" s="118">
        <v>1</v>
      </c>
      <c r="D43" s="111">
        <f t="shared" si="0"/>
        <v>8322.3684210526317</v>
      </c>
      <c r="E43" s="31">
        <f t="shared" si="1"/>
        <v>3128.2383419689118</v>
      </c>
      <c r="F43" s="102">
        <f t="shared" si="2"/>
        <v>11450.606763021544</v>
      </c>
      <c r="G43" s="121">
        <f t="shared" si="3"/>
        <v>1.810372610754395E-2</v>
      </c>
    </row>
    <row r="44" spans="1:7" ht="16">
      <c r="A44" s="138" t="s">
        <v>32</v>
      </c>
      <c r="B44" s="157">
        <v>34</v>
      </c>
      <c r="C44" s="118">
        <v>1</v>
      </c>
      <c r="D44" s="111">
        <f t="shared" si="0"/>
        <v>8322.3684210526317</v>
      </c>
      <c r="E44" s="31">
        <f t="shared" si="1"/>
        <v>5064.7668393782387</v>
      </c>
      <c r="F44" s="104">
        <f t="shared" si="2"/>
        <v>13387.13526043087</v>
      </c>
      <c r="G44" s="121">
        <f t="shared" si="3"/>
        <v>2.1165431241787946E-2</v>
      </c>
    </row>
    <row r="45" spans="1:7" ht="16">
      <c r="A45" s="134" t="s">
        <v>58</v>
      </c>
      <c r="B45" s="156">
        <v>15</v>
      </c>
      <c r="C45" s="117">
        <v>1</v>
      </c>
      <c r="D45" s="111">
        <f t="shared" si="0"/>
        <v>8322.3684210526317</v>
      </c>
      <c r="E45" s="31">
        <f t="shared" si="1"/>
        <v>2234.4559585492229</v>
      </c>
      <c r="F45" s="102">
        <f t="shared" si="2"/>
        <v>10556.824379601854</v>
      </c>
      <c r="G45" s="121">
        <f t="shared" si="3"/>
        <v>1.6690631430200567E-2</v>
      </c>
    </row>
    <row r="46" spans="1:7" ht="16">
      <c r="A46" s="134" t="s">
        <v>75</v>
      </c>
      <c r="B46" s="156">
        <v>10</v>
      </c>
      <c r="C46" s="117">
        <v>1</v>
      </c>
      <c r="D46" s="111">
        <f t="shared" si="0"/>
        <v>8322.3684210526317</v>
      </c>
      <c r="E46" s="31">
        <f t="shared" si="1"/>
        <v>1489.6373056994819</v>
      </c>
      <c r="F46" s="102">
        <f t="shared" si="2"/>
        <v>9812.0057267521133</v>
      </c>
      <c r="G46" s="121">
        <f t="shared" si="3"/>
        <v>1.5513052532414414E-2</v>
      </c>
    </row>
    <row r="47" spans="1:7" ht="16">
      <c r="A47" s="138" t="s">
        <v>76</v>
      </c>
      <c r="B47" s="158">
        <v>6</v>
      </c>
      <c r="C47" s="115">
        <v>1</v>
      </c>
      <c r="D47" s="111">
        <f t="shared" si="0"/>
        <v>8322.3684210526317</v>
      </c>
      <c r="E47" s="31">
        <f t="shared" si="1"/>
        <v>893.78238341968915</v>
      </c>
      <c r="F47" s="102">
        <f t="shared" si="2"/>
        <v>9216.1508044723214</v>
      </c>
      <c r="G47" s="121">
        <f t="shared" si="3"/>
        <v>1.4570989414185494E-2</v>
      </c>
    </row>
    <row r="48" spans="1:7" ht="16">
      <c r="A48" s="134" t="s">
        <v>77</v>
      </c>
      <c r="B48" s="158">
        <v>0</v>
      </c>
      <c r="C48" s="115">
        <v>0</v>
      </c>
      <c r="D48" s="111">
        <f t="shared" si="0"/>
        <v>0</v>
      </c>
      <c r="E48" s="31">
        <f t="shared" si="1"/>
        <v>0</v>
      </c>
      <c r="F48" s="102">
        <f t="shared" si="2"/>
        <v>0</v>
      </c>
      <c r="G48" s="121">
        <f t="shared" si="3"/>
        <v>0</v>
      </c>
    </row>
    <row r="49" spans="1:7" ht="16">
      <c r="A49" s="138" t="s">
        <v>65</v>
      </c>
      <c r="B49" s="158">
        <v>22</v>
      </c>
      <c r="C49" s="115">
        <v>1</v>
      </c>
      <c r="D49" s="111">
        <f t="shared" si="0"/>
        <v>8322.3684210526317</v>
      </c>
      <c r="E49" s="31">
        <f t="shared" si="1"/>
        <v>3277.2020725388602</v>
      </c>
      <c r="F49" s="102">
        <f t="shared" si="2"/>
        <v>11599.570493591491</v>
      </c>
      <c r="G49" s="121">
        <f t="shared" si="3"/>
        <v>1.833924188710118E-2</v>
      </c>
    </row>
    <row r="50" spans="1:7" ht="16">
      <c r="A50" s="139" t="s">
        <v>53</v>
      </c>
      <c r="B50" s="158">
        <v>15</v>
      </c>
      <c r="C50" s="115">
        <v>1</v>
      </c>
      <c r="D50" s="111">
        <f t="shared" si="0"/>
        <v>8322.3684210526317</v>
      </c>
      <c r="E50" s="31">
        <f t="shared" si="1"/>
        <v>2234.4559585492229</v>
      </c>
      <c r="F50" s="102">
        <f t="shared" si="2"/>
        <v>10556.824379601854</v>
      </c>
      <c r="G50" s="121">
        <f t="shared" si="3"/>
        <v>1.6690631430200567E-2</v>
      </c>
    </row>
    <row r="51" spans="1:7" ht="16">
      <c r="A51" s="138" t="s">
        <v>56</v>
      </c>
      <c r="B51" s="158">
        <v>6</v>
      </c>
      <c r="C51" s="115">
        <v>1</v>
      </c>
      <c r="D51" s="111">
        <f t="shared" si="0"/>
        <v>8322.3684210526317</v>
      </c>
      <c r="E51" s="31">
        <f t="shared" si="1"/>
        <v>893.78238341968915</v>
      </c>
      <c r="F51" s="102">
        <f t="shared" si="2"/>
        <v>9216.1508044723214</v>
      </c>
      <c r="G51" s="121">
        <f t="shared" si="3"/>
        <v>1.4570989414185494E-2</v>
      </c>
    </row>
    <row r="52" spans="1:7" ht="16">
      <c r="A52" s="134" t="s">
        <v>59</v>
      </c>
      <c r="B52" s="158">
        <v>0</v>
      </c>
      <c r="C52" s="118">
        <v>0</v>
      </c>
      <c r="D52" s="111">
        <f t="shared" si="0"/>
        <v>0</v>
      </c>
      <c r="E52" s="31">
        <f t="shared" si="1"/>
        <v>0</v>
      </c>
      <c r="F52" s="102">
        <f t="shared" si="2"/>
        <v>0</v>
      </c>
      <c r="G52" s="121">
        <f t="shared" si="3"/>
        <v>0</v>
      </c>
    </row>
    <row r="53" spans="1:7" ht="16">
      <c r="A53" s="134" t="s">
        <v>148</v>
      </c>
      <c r="B53" s="158">
        <v>1</v>
      </c>
      <c r="C53" s="118">
        <v>1</v>
      </c>
      <c r="D53" s="111">
        <f t="shared" si="0"/>
        <v>8322.3684210526317</v>
      </c>
      <c r="E53" s="31">
        <f t="shared" si="1"/>
        <v>148.96373056994818</v>
      </c>
      <c r="F53" s="102">
        <f t="shared" si="2"/>
        <v>8471.3321516225806</v>
      </c>
      <c r="G53" s="121">
        <f t="shared" si="3"/>
        <v>1.3393410516399341E-2</v>
      </c>
    </row>
    <row r="54" spans="1:7" ht="16">
      <c r="A54" s="207" t="s">
        <v>35</v>
      </c>
      <c r="B54" s="158">
        <v>1</v>
      </c>
      <c r="C54" s="117">
        <v>1</v>
      </c>
      <c r="D54" s="111">
        <f t="shared" si="0"/>
        <v>8322.3684210526317</v>
      </c>
      <c r="E54" s="31">
        <f t="shared" si="1"/>
        <v>148.96373056994818</v>
      </c>
      <c r="F54" s="102">
        <f t="shared" si="2"/>
        <v>8471.3321516225806</v>
      </c>
      <c r="G54" s="121">
        <f t="shared" si="3"/>
        <v>1.3393410516399341E-2</v>
      </c>
    </row>
    <row r="55" spans="1:7" ht="16">
      <c r="A55" s="207" t="s">
        <v>78</v>
      </c>
      <c r="B55" s="158">
        <v>4</v>
      </c>
      <c r="C55" s="117">
        <v>1</v>
      </c>
      <c r="D55" s="111">
        <f t="shared" si="0"/>
        <v>8322.3684210526317</v>
      </c>
      <c r="E55" s="31">
        <f t="shared" si="1"/>
        <v>595.85492227979273</v>
      </c>
      <c r="F55" s="102">
        <f t="shared" si="2"/>
        <v>8918.2233433324236</v>
      </c>
      <c r="G55" s="121">
        <f t="shared" si="3"/>
        <v>1.4099957855071031E-2</v>
      </c>
    </row>
    <row r="56" spans="1:7" ht="16">
      <c r="A56" s="207" t="s">
        <v>149</v>
      </c>
      <c r="B56" s="158">
        <v>2</v>
      </c>
      <c r="C56" s="117">
        <v>1</v>
      </c>
      <c r="D56" s="111">
        <f t="shared" si="0"/>
        <v>8322.3684210526317</v>
      </c>
      <c r="E56" s="31">
        <f t="shared" si="1"/>
        <v>297.92746113989637</v>
      </c>
      <c r="F56" s="102">
        <f t="shared" si="2"/>
        <v>8620.2958821925276</v>
      </c>
      <c r="G56" s="121">
        <f t="shared" si="3"/>
        <v>1.3628926295956571E-2</v>
      </c>
    </row>
    <row r="57" spans="1:7" ht="16">
      <c r="A57" s="124" t="s">
        <v>117</v>
      </c>
      <c r="B57" s="156">
        <v>0</v>
      </c>
      <c r="C57" s="208">
        <v>0</v>
      </c>
      <c r="D57" s="209">
        <f t="shared" si="0"/>
        <v>0</v>
      </c>
      <c r="E57" s="31">
        <f t="shared" si="1"/>
        <v>0</v>
      </c>
      <c r="F57" s="102">
        <f t="shared" si="2"/>
        <v>0</v>
      </c>
      <c r="G57" s="121">
        <f t="shared" si="3"/>
        <v>0</v>
      </c>
    </row>
    <row r="58" spans="1:7" ht="17" thickBot="1">
      <c r="A58" s="140" t="s">
        <v>150</v>
      </c>
      <c r="B58" s="159">
        <v>78</v>
      </c>
      <c r="C58" s="125">
        <v>1</v>
      </c>
      <c r="D58" s="122">
        <f t="shared" si="0"/>
        <v>8322.3684210526317</v>
      </c>
      <c r="E58" s="50">
        <f t="shared" si="1"/>
        <v>11619.170984455959</v>
      </c>
      <c r="F58" s="114">
        <f t="shared" si="2"/>
        <v>19941.539405508593</v>
      </c>
      <c r="G58" s="123">
        <f t="shared" si="3"/>
        <v>3.1528125542306086E-2</v>
      </c>
    </row>
    <row r="59" spans="1:7" ht="17" thickBot="1">
      <c r="A59" s="61"/>
      <c r="B59" s="127"/>
      <c r="C59" s="60"/>
      <c r="D59" s="57"/>
      <c r="E59" s="57"/>
      <c r="F59" s="91"/>
    </row>
    <row r="60" spans="1:7" ht="17" thickBot="1">
      <c r="A60" s="54" t="s">
        <v>36</v>
      </c>
      <c r="B60" s="128">
        <f t="shared" ref="B60:G60" si="4">SUM(B18:B58)</f>
        <v>2123</v>
      </c>
      <c r="C60" s="119">
        <f t="shared" si="4"/>
        <v>38</v>
      </c>
      <c r="D60" s="31">
        <f t="shared" si="4"/>
        <v>316250.00000000017</v>
      </c>
      <c r="E60" s="31">
        <f t="shared" si="4"/>
        <v>316249.99999999988</v>
      </c>
      <c r="F60" s="120">
        <f t="shared" si="4"/>
        <v>632499.99999999977</v>
      </c>
      <c r="G60" s="98">
        <f t="shared" si="4"/>
        <v>1.0000000000000002</v>
      </c>
    </row>
    <row r="61" spans="1:7" ht="16">
      <c r="A61" s="153" t="s">
        <v>192</v>
      </c>
      <c r="B61" s="60"/>
      <c r="C61" s="60"/>
      <c r="D61" s="31">
        <f>F11*D16</f>
        <v>316250</v>
      </c>
      <c r="E61" s="31">
        <f>F11*E16</f>
        <v>316250</v>
      </c>
      <c r="F61" s="31"/>
      <c r="G61"/>
    </row>
    <row r="62" spans="1:7" ht="16">
      <c r="A62" s="61"/>
      <c r="B62" s="92"/>
      <c r="C62" s="92"/>
      <c r="D62" s="63"/>
      <c r="E62" s="109">
        <f>E60+D60</f>
        <v>632500</v>
      </c>
      <c r="F62" s="63"/>
      <c r="G62"/>
    </row>
    <row r="63" spans="1:7" ht="13.5" customHeight="1">
      <c r="D63" s="65"/>
      <c r="E63" s="65"/>
      <c r="F63" s="65"/>
      <c r="G63"/>
    </row>
    <row r="64" spans="1:7">
      <c r="A64" s="5" t="s">
        <v>185</v>
      </c>
      <c r="D64" s="68"/>
      <c r="E64" s="68"/>
      <c r="F64" s="68"/>
      <c r="G64"/>
    </row>
  </sheetData>
  <autoFilter ref="A17:G17" xr:uid="{00000000-0009-0000-0000-00000F000000}">
    <sortState ref="A16:G52">
      <sortCondition descending="1" ref="F15"/>
    </sortState>
  </autoFilter>
  <mergeCells count="3">
    <mergeCell ref="A1:F3"/>
    <mergeCell ref="B8:F8"/>
    <mergeCell ref="D15:F15"/>
  </mergeCells>
  <pageMargins left="0.7" right="0.7" top="0.78740157499999996" bottom="0.78740157499999996" header="0.3" footer="0.3"/>
  <pageSetup paperSize="9" scale="50" orientation="portrait" r:id="rId1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B58"/>
  <sheetViews>
    <sheetView zoomScale="80" zoomScaleNormal="80" workbookViewId="0">
      <selection activeCell="B21" sqref="B21"/>
    </sheetView>
  </sheetViews>
  <sheetFormatPr baseColWidth="10" defaultColWidth="8.83203125" defaultRowHeight="15"/>
  <cols>
    <col min="1" max="1" width="45.5" customWidth="1"/>
    <col min="2" max="2" width="17.1640625" bestFit="1" customWidth="1"/>
    <col min="3" max="3" width="16.6640625" customWidth="1"/>
  </cols>
  <sheetData>
    <row r="1" spans="1:2" ht="18.75" customHeight="1">
      <c r="A1" s="266" t="s">
        <v>167</v>
      </c>
    </row>
    <row r="2" spans="1:2" ht="10.5" customHeight="1">
      <c r="A2" s="266"/>
    </row>
    <row r="3" spans="1:2" ht="8.25" customHeight="1">
      <c r="A3" s="266"/>
    </row>
    <row r="4" spans="1:2" ht="16">
      <c r="A4" s="3" t="s">
        <v>197</v>
      </c>
    </row>
    <row r="5" spans="1:2" ht="16">
      <c r="A5" s="4" t="s">
        <v>199</v>
      </c>
    </row>
    <row r="6" spans="1:2" ht="9" customHeight="1">
      <c r="A6" s="5"/>
    </row>
    <row r="7" spans="1:2" hidden="1">
      <c r="A7" s="5"/>
    </row>
    <row r="8" spans="1:2" ht="156.75" customHeight="1">
      <c r="A8" s="126" t="s">
        <v>198</v>
      </c>
    </row>
    <row r="10" spans="1:2" s="20" customFormat="1" ht="17" thickBot="1"/>
    <row r="11" spans="1:2" s="20" customFormat="1" ht="17" thickBot="1">
      <c r="A11" s="112" t="s">
        <v>66</v>
      </c>
      <c r="B11" s="17" t="s">
        <v>178</v>
      </c>
    </row>
    <row r="12" spans="1:2" ht="16">
      <c r="A12" s="135" t="s">
        <v>7</v>
      </c>
      <c r="B12" s="228">
        <v>43500</v>
      </c>
    </row>
    <row r="13" spans="1:2" ht="16.5" customHeight="1">
      <c r="A13" s="134" t="s">
        <v>11</v>
      </c>
      <c r="B13" s="230">
        <v>14500</v>
      </c>
    </row>
    <row r="14" spans="1:2" ht="16">
      <c r="A14" s="136" t="s">
        <v>12</v>
      </c>
      <c r="B14" s="230">
        <v>45624</v>
      </c>
    </row>
    <row r="15" spans="1:2" ht="16">
      <c r="A15" s="136" t="s">
        <v>57</v>
      </c>
      <c r="B15" s="230">
        <v>20500</v>
      </c>
    </row>
    <row r="16" spans="1:2" ht="16">
      <c r="A16" s="134" t="s">
        <v>8</v>
      </c>
      <c r="B16" s="230">
        <v>25500</v>
      </c>
    </row>
    <row r="17" spans="1:2" ht="16.5" customHeight="1">
      <c r="A17" s="134" t="s">
        <v>69</v>
      </c>
      <c r="B17" s="230">
        <v>0</v>
      </c>
    </row>
    <row r="18" spans="1:2" ht="16.5" customHeight="1">
      <c r="A18" s="134" t="s">
        <v>13</v>
      </c>
      <c r="B18" s="230">
        <v>0</v>
      </c>
    </row>
    <row r="19" spans="1:2" ht="16">
      <c r="A19" s="134" t="s">
        <v>60</v>
      </c>
      <c r="B19" s="230">
        <v>0</v>
      </c>
    </row>
    <row r="20" spans="1:2" ht="16">
      <c r="A20" s="136" t="s">
        <v>10</v>
      </c>
      <c r="B20" s="230">
        <v>6250</v>
      </c>
    </row>
    <row r="21" spans="1:2" ht="16">
      <c r="A21" s="134" t="s">
        <v>21</v>
      </c>
      <c r="B21" s="230">
        <v>0</v>
      </c>
    </row>
    <row r="22" spans="1:2" ht="16">
      <c r="A22" s="134" t="s">
        <v>28</v>
      </c>
      <c r="B22" s="230">
        <v>91812</v>
      </c>
    </row>
    <row r="23" spans="1:2" ht="16">
      <c r="A23" s="136" t="s">
        <v>61</v>
      </c>
      <c r="B23" s="230">
        <v>0</v>
      </c>
    </row>
    <row r="24" spans="1:2" ht="16">
      <c r="A24" s="136" t="s">
        <v>24</v>
      </c>
      <c r="B24" s="230">
        <v>0</v>
      </c>
    </row>
    <row r="25" spans="1:2" ht="16">
      <c r="A25" s="134" t="s">
        <v>20</v>
      </c>
      <c r="B25" s="230">
        <v>0</v>
      </c>
    </row>
    <row r="26" spans="1:2" ht="16">
      <c r="A26" s="134" t="s">
        <v>25</v>
      </c>
      <c r="B26" s="230">
        <v>0</v>
      </c>
    </row>
    <row r="27" spans="1:2" ht="16">
      <c r="A27" s="136" t="s">
        <v>74</v>
      </c>
      <c r="B27" s="230">
        <v>0</v>
      </c>
    </row>
    <row r="28" spans="1:2" ht="16">
      <c r="A28" s="134" t="s">
        <v>73</v>
      </c>
      <c r="B28" s="230">
        <v>0</v>
      </c>
    </row>
    <row r="29" spans="1:2" ht="16">
      <c r="A29" s="134" t="s">
        <v>23</v>
      </c>
      <c r="B29" s="230">
        <v>0</v>
      </c>
    </row>
    <row r="30" spans="1:2" ht="16">
      <c r="A30" s="137" t="s">
        <v>27</v>
      </c>
      <c r="B30" s="230">
        <v>0</v>
      </c>
    </row>
    <row r="31" spans="1:2" ht="16">
      <c r="A31" s="134" t="s">
        <v>33</v>
      </c>
      <c r="B31" s="230">
        <v>2812</v>
      </c>
    </row>
    <row r="32" spans="1:2" ht="16">
      <c r="A32" s="134" t="s">
        <v>64</v>
      </c>
      <c r="B32" s="230">
        <v>0</v>
      </c>
    </row>
    <row r="33" spans="1:2" ht="16">
      <c r="A33" s="134" t="s">
        <v>16</v>
      </c>
      <c r="B33" s="230">
        <v>0</v>
      </c>
    </row>
    <row r="34" spans="1:2" ht="16">
      <c r="A34" s="134" t="s">
        <v>63</v>
      </c>
      <c r="B34" s="230">
        <v>0</v>
      </c>
    </row>
    <row r="35" spans="1:2" ht="16">
      <c r="A35" s="134" t="s">
        <v>19</v>
      </c>
      <c r="B35" s="230">
        <v>6250</v>
      </c>
    </row>
    <row r="36" spans="1:2" ht="16">
      <c r="A36" s="134" t="s">
        <v>29</v>
      </c>
      <c r="B36" s="230">
        <v>0</v>
      </c>
    </row>
    <row r="37" spans="1:2" ht="16">
      <c r="A37" s="138" t="s">
        <v>62</v>
      </c>
      <c r="B37" s="230">
        <v>0</v>
      </c>
    </row>
    <row r="38" spans="1:2" ht="16">
      <c r="A38" s="138" t="s">
        <v>32</v>
      </c>
      <c r="B38" s="230">
        <v>6000</v>
      </c>
    </row>
    <row r="39" spans="1:2" ht="16">
      <c r="A39" s="134" t="s">
        <v>58</v>
      </c>
      <c r="B39" s="230">
        <v>0</v>
      </c>
    </row>
    <row r="40" spans="1:2" ht="16">
      <c r="A40" s="134" t="s">
        <v>75</v>
      </c>
      <c r="B40" s="230">
        <v>0</v>
      </c>
    </row>
    <row r="41" spans="1:2" ht="16">
      <c r="A41" s="138" t="s">
        <v>76</v>
      </c>
      <c r="B41" s="230">
        <v>0</v>
      </c>
    </row>
    <row r="42" spans="1:2" ht="16">
      <c r="A42" s="134" t="s">
        <v>77</v>
      </c>
      <c r="B42" s="230">
        <v>0</v>
      </c>
    </row>
    <row r="43" spans="1:2" ht="16">
      <c r="A43" s="138" t="s">
        <v>65</v>
      </c>
      <c r="B43" s="230">
        <v>14500</v>
      </c>
    </row>
    <row r="44" spans="1:2" ht="16">
      <c r="A44" s="139" t="s">
        <v>53</v>
      </c>
      <c r="B44" s="230">
        <v>0</v>
      </c>
    </row>
    <row r="45" spans="1:2" ht="16">
      <c r="A45" s="138" t="s">
        <v>56</v>
      </c>
      <c r="B45" s="230">
        <v>0</v>
      </c>
    </row>
    <row r="46" spans="1:2" ht="16">
      <c r="A46" s="134" t="s">
        <v>59</v>
      </c>
      <c r="B46" s="230">
        <v>0</v>
      </c>
    </row>
    <row r="47" spans="1:2" ht="16">
      <c r="A47" s="134" t="s">
        <v>148</v>
      </c>
      <c r="B47" s="230">
        <v>0</v>
      </c>
    </row>
    <row r="48" spans="1:2" ht="16">
      <c r="A48" s="207" t="s">
        <v>35</v>
      </c>
      <c r="B48" s="230">
        <v>0</v>
      </c>
    </row>
    <row r="49" spans="1:2" ht="16">
      <c r="A49" s="207" t="s">
        <v>78</v>
      </c>
      <c r="B49" s="230">
        <v>0</v>
      </c>
    </row>
    <row r="50" spans="1:2" ht="16">
      <c r="A50" s="207" t="s">
        <v>149</v>
      </c>
      <c r="B50" s="230">
        <v>0</v>
      </c>
    </row>
    <row r="51" spans="1:2" ht="16">
      <c r="A51" s="124" t="s">
        <v>117</v>
      </c>
      <c r="B51" s="230">
        <v>0</v>
      </c>
    </row>
    <row r="52" spans="1:2" ht="17" thickBot="1">
      <c r="A52" s="140" t="s">
        <v>150</v>
      </c>
      <c r="B52" s="233">
        <v>0</v>
      </c>
    </row>
    <row r="53" spans="1:2" ht="16">
      <c r="A53" s="61"/>
    </row>
    <row r="54" spans="1:2" ht="16">
      <c r="A54" s="54" t="s">
        <v>36</v>
      </c>
      <c r="B54" s="235">
        <f>SUM(B12:B52)</f>
        <v>277248</v>
      </c>
    </row>
    <row r="55" spans="1:2" ht="16">
      <c r="A55" s="153"/>
    </row>
    <row r="56" spans="1:2" ht="16">
      <c r="A56" s="61" t="s">
        <v>200</v>
      </c>
    </row>
    <row r="57" spans="1:2" ht="13.5" customHeight="1"/>
    <row r="58" spans="1:2">
      <c r="A58" s="5"/>
    </row>
  </sheetData>
  <autoFilter ref="A11" xr:uid="{00000000-0009-0000-0000-000010000000}"/>
  <mergeCells count="1">
    <mergeCell ref="A1:A3"/>
  </mergeCells>
  <pageMargins left="0.7" right="0.7" top="0.78740157499999996" bottom="0.78740157499999996" header="0.3" footer="0.3"/>
  <pageSetup paperSize="9" scale="5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"/>
  <sheetViews>
    <sheetView workbookViewId="0">
      <selection activeCell="P26" sqref="P26"/>
    </sheetView>
  </sheetViews>
  <sheetFormatPr baseColWidth="10" defaultColWidth="8.83203125" defaultRowHeight="15"/>
  <sheetData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45"/>
  <sheetViews>
    <sheetView topLeftCell="A25" workbookViewId="0">
      <selection sqref="A1:H43"/>
    </sheetView>
  </sheetViews>
  <sheetFormatPr baseColWidth="10" defaultColWidth="8.83203125" defaultRowHeight="15"/>
  <cols>
    <col min="1" max="1" width="29.5" customWidth="1"/>
    <col min="2" max="2" width="14" style="2" customWidth="1"/>
    <col min="3" max="3" width="6.1640625" style="2" customWidth="1"/>
    <col min="4" max="5" width="15" customWidth="1"/>
    <col min="6" max="6" width="14.5" customWidth="1"/>
    <col min="7" max="7" width="15.6640625" customWidth="1"/>
    <col min="8" max="8" width="16.83203125" customWidth="1"/>
    <col min="9" max="9" width="5.5" customWidth="1"/>
    <col min="10" max="12" width="14.5" customWidth="1"/>
    <col min="13" max="14" width="15.6640625" customWidth="1"/>
  </cols>
  <sheetData>
    <row r="1" spans="1:8" ht="19">
      <c r="A1" s="1" t="s">
        <v>46</v>
      </c>
    </row>
    <row r="2" spans="1:8" ht="16">
      <c r="A2" s="3" t="s">
        <v>47</v>
      </c>
    </row>
    <row r="3" spans="1:8" ht="16">
      <c r="A3" s="4" t="s">
        <v>0</v>
      </c>
    </row>
    <row r="4" spans="1:8">
      <c r="A4" s="5" t="s">
        <v>48</v>
      </c>
    </row>
    <row r="5" spans="1:8" ht="16" thickBot="1">
      <c r="A5" s="5"/>
    </row>
    <row r="6" spans="1:8" ht="17" thickBot="1">
      <c r="A6" s="253" t="s">
        <v>1</v>
      </c>
      <c r="B6" s="254"/>
      <c r="C6" s="255"/>
      <c r="D6" s="6">
        <f>5400000-70000</f>
        <v>5330000</v>
      </c>
    </row>
    <row r="7" spans="1:8" ht="16">
      <c r="A7" s="256" t="s">
        <v>2</v>
      </c>
      <c r="B7" s="257"/>
      <c r="C7" s="258"/>
      <c r="D7" s="7">
        <v>230000</v>
      </c>
    </row>
    <row r="8" spans="1:8" ht="17" thickBot="1">
      <c r="A8" s="259" t="s">
        <v>3</v>
      </c>
      <c r="B8" s="260"/>
      <c r="C8" s="260"/>
      <c r="D8" s="8">
        <f>D6-D7</f>
        <v>5100000</v>
      </c>
    </row>
    <row r="9" spans="1:8" s="11" customFormat="1" ht="17" thickBot="1">
      <c r="A9" s="9"/>
      <c r="B9" s="10"/>
      <c r="C9" s="10"/>
      <c r="E9" s="12"/>
      <c r="F9" s="13"/>
    </row>
    <row r="10" spans="1:8" s="9" customFormat="1" ht="17" thickBot="1">
      <c r="B10" s="14"/>
      <c r="C10" s="15"/>
      <c r="D10" s="261" t="s">
        <v>49</v>
      </c>
      <c r="E10" s="262"/>
      <c r="F10" s="263"/>
      <c r="G10" s="264" t="s">
        <v>50</v>
      </c>
      <c r="H10" s="249" t="s">
        <v>51</v>
      </c>
    </row>
    <row r="11" spans="1:8" s="20" customFormat="1" ht="17" thickBot="1">
      <c r="A11" s="251" t="s">
        <v>52</v>
      </c>
      <c r="B11" s="252"/>
      <c r="C11" s="16"/>
      <c r="D11" s="17" t="s">
        <v>4</v>
      </c>
      <c r="E11" s="18" t="s">
        <v>5</v>
      </c>
      <c r="F11" s="19" t="s">
        <v>6</v>
      </c>
      <c r="G11" s="265"/>
      <c r="H11" s="250"/>
    </row>
    <row r="12" spans="1:8" ht="16">
      <c r="A12" s="21" t="s">
        <v>7</v>
      </c>
      <c r="B12" s="22">
        <v>50</v>
      </c>
      <c r="D12" s="23">
        <f t="shared" ref="D12:D40" si="0">$D$45/2</f>
        <v>35172.413793103449</v>
      </c>
      <c r="E12" s="24">
        <f>B12*E45/2</f>
        <v>105662.98342541436</v>
      </c>
      <c r="F12" s="25">
        <f t="shared" ref="F12:F40" si="1">(D12+E12)</f>
        <v>140835.39721851781</v>
      </c>
      <c r="G12" s="26">
        <f t="shared" ref="G12:G40" si="2">B12*$G$45/2</f>
        <v>105662.98342541438</v>
      </c>
      <c r="H12" s="27">
        <f t="shared" ref="H12:H40" si="3">G12+F12</f>
        <v>246498.38064393221</v>
      </c>
    </row>
    <row r="13" spans="1:8" ht="16">
      <c r="A13" s="28" t="s">
        <v>8</v>
      </c>
      <c r="B13" s="29">
        <v>22</v>
      </c>
      <c r="D13" s="30">
        <f t="shared" si="0"/>
        <v>35172.413793103449</v>
      </c>
      <c r="E13" s="31">
        <f t="shared" ref="E13:E40" si="4">B13*$E$45/2</f>
        <v>46491.71270718232</v>
      </c>
      <c r="F13" s="32">
        <f t="shared" si="1"/>
        <v>81664.126500285769</v>
      </c>
      <c r="G13" s="33">
        <f t="shared" si="2"/>
        <v>46491.712707182327</v>
      </c>
      <c r="H13" s="34">
        <f t="shared" si="3"/>
        <v>128155.83920746809</v>
      </c>
    </row>
    <row r="14" spans="1:8" ht="16">
      <c r="A14" s="28" t="s">
        <v>9</v>
      </c>
      <c r="B14" s="29">
        <v>21</v>
      </c>
      <c r="D14" s="30">
        <f t="shared" si="0"/>
        <v>35172.413793103449</v>
      </c>
      <c r="E14" s="31">
        <f t="shared" si="4"/>
        <v>44378.45303867403</v>
      </c>
      <c r="F14" s="32">
        <f t="shared" si="1"/>
        <v>79550.866831777472</v>
      </c>
      <c r="G14" s="33">
        <f t="shared" si="2"/>
        <v>44378.453038674037</v>
      </c>
      <c r="H14" s="34">
        <f t="shared" si="3"/>
        <v>123929.31987045151</v>
      </c>
    </row>
    <row r="15" spans="1:8" ht="16">
      <c r="A15" s="35" t="s">
        <v>10</v>
      </c>
      <c r="B15" s="29">
        <v>19</v>
      </c>
      <c r="D15" s="30">
        <f t="shared" si="0"/>
        <v>35172.413793103449</v>
      </c>
      <c r="E15" s="31">
        <f t="shared" si="4"/>
        <v>40151.933701657457</v>
      </c>
      <c r="F15" s="32">
        <f t="shared" si="1"/>
        <v>75324.347494760907</v>
      </c>
      <c r="G15" s="33">
        <f t="shared" si="2"/>
        <v>40151.933701657465</v>
      </c>
      <c r="H15" s="34">
        <f t="shared" si="3"/>
        <v>115476.28119641836</v>
      </c>
    </row>
    <row r="16" spans="1:8" ht="16">
      <c r="A16" s="28" t="s">
        <v>11</v>
      </c>
      <c r="B16" s="29">
        <v>18</v>
      </c>
      <c r="D16" s="30">
        <f t="shared" si="0"/>
        <v>35172.413793103449</v>
      </c>
      <c r="E16" s="31">
        <f t="shared" si="4"/>
        <v>38038.674033149167</v>
      </c>
      <c r="F16" s="32">
        <f t="shared" si="1"/>
        <v>73211.087826252624</v>
      </c>
      <c r="G16" s="33">
        <f t="shared" si="2"/>
        <v>38038.674033149175</v>
      </c>
      <c r="H16" s="34">
        <f t="shared" si="3"/>
        <v>111249.7618594018</v>
      </c>
    </row>
    <row r="17" spans="1:8" ht="16">
      <c r="A17" s="35" t="s">
        <v>12</v>
      </c>
      <c r="B17" s="29">
        <v>18</v>
      </c>
      <c r="D17" s="30">
        <f t="shared" si="0"/>
        <v>35172.413793103449</v>
      </c>
      <c r="E17" s="31">
        <f t="shared" si="4"/>
        <v>38038.674033149167</v>
      </c>
      <c r="F17" s="32">
        <f t="shared" si="1"/>
        <v>73211.087826252624</v>
      </c>
      <c r="G17" s="33">
        <f t="shared" si="2"/>
        <v>38038.674033149175</v>
      </c>
      <c r="H17" s="34">
        <f t="shared" si="3"/>
        <v>111249.7618594018</v>
      </c>
    </row>
    <row r="18" spans="1:8" ht="16">
      <c r="A18" s="28" t="s">
        <v>13</v>
      </c>
      <c r="B18" s="29">
        <v>18</v>
      </c>
      <c r="D18" s="30">
        <f t="shared" si="0"/>
        <v>35172.413793103449</v>
      </c>
      <c r="E18" s="31">
        <f t="shared" si="4"/>
        <v>38038.674033149167</v>
      </c>
      <c r="F18" s="32">
        <f t="shared" si="1"/>
        <v>73211.087826252624</v>
      </c>
      <c r="G18" s="33">
        <f t="shared" si="2"/>
        <v>38038.674033149175</v>
      </c>
      <c r="H18" s="34">
        <f t="shared" si="3"/>
        <v>111249.7618594018</v>
      </c>
    </row>
    <row r="19" spans="1:8" ht="16">
      <c r="A19" s="35" t="s">
        <v>14</v>
      </c>
      <c r="B19" s="29">
        <v>17</v>
      </c>
      <c r="D19" s="30">
        <f t="shared" si="0"/>
        <v>35172.413793103449</v>
      </c>
      <c r="E19" s="31">
        <f t="shared" si="4"/>
        <v>35925.414364640885</v>
      </c>
      <c r="F19" s="32">
        <f t="shared" si="1"/>
        <v>71097.828157744341</v>
      </c>
      <c r="G19" s="33">
        <f t="shared" si="2"/>
        <v>35925.414364640892</v>
      </c>
      <c r="H19" s="34">
        <f t="shared" si="3"/>
        <v>107023.24252238523</v>
      </c>
    </row>
    <row r="20" spans="1:8" ht="16">
      <c r="A20" s="28" t="s">
        <v>15</v>
      </c>
      <c r="B20" s="29">
        <v>15</v>
      </c>
      <c r="D20" s="30">
        <f t="shared" si="0"/>
        <v>35172.413793103449</v>
      </c>
      <c r="E20" s="31">
        <f t="shared" si="4"/>
        <v>31698.895027624309</v>
      </c>
      <c r="F20" s="32">
        <f t="shared" si="1"/>
        <v>66871.308820727761</v>
      </c>
      <c r="G20" s="33">
        <f t="shared" si="2"/>
        <v>31698.895027624316</v>
      </c>
      <c r="H20" s="34">
        <f t="shared" si="3"/>
        <v>98570.203848352074</v>
      </c>
    </row>
    <row r="21" spans="1:8" ht="16">
      <c r="A21" s="28" t="s">
        <v>16</v>
      </c>
      <c r="B21" s="29">
        <v>15</v>
      </c>
      <c r="D21" s="30">
        <f t="shared" si="0"/>
        <v>35172.413793103449</v>
      </c>
      <c r="E21" s="31">
        <f t="shared" si="4"/>
        <v>31698.895027624309</v>
      </c>
      <c r="F21" s="32">
        <f t="shared" si="1"/>
        <v>66871.308820727761</v>
      </c>
      <c r="G21" s="33">
        <f t="shared" si="2"/>
        <v>31698.895027624316</v>
      </c>
      <c r="H21" s="34">
        <f t="shared" si="3"/>
        <v>98570.203848352074</v>
      </c>
    </row>
    <row r="22" spans="1:8" ht="16">
      <c r="A22" s="35" t="s">
        <v>17</v>
      </c>
      <c r="B22" s="29">
        <v>13</v>
      </c>
      <c r="D22" s="30">
        <f t="shared" si="0"/>
        <v>35172.413793103449</v>
      </c>
      <c r="E22" s="31">
        <f t="shared" si="4"/>
        <v>27472.375690607732</v>
      </c>
      <c r="F22" s="32">
        <f t="shared" si="1"/>
        <v>62644.789483711182</v>
      </c>
      <c r="G22" s="33">
        <f t="shared" si="2"/>
        <v>27472.37569060774</v>
      </c>
      <c r="H22" s="34">
        <f t="shared" si="3"/>
        <v>90117.165174318914</v>
      </c>
    </row>
    <row r="23" spans="1:8" ht="16">
      <c r="A23" s="35" t="s">
        <v>18</v>
      </c>
      <c r="B23" s="29">
        <v>13</v>
      </c>
      <c r="D23" s="30">
        <f t="shared" si="0"/>
        <v>35172.413793103449</v>
      </c>
      <c r="E23" s="31">
        <f t="shared" si="4"/>
        <v>27472.375690607732</v>
      </c>
      <c r="F23" s="32">
        <f t="shared" si="1"/>
        <v>62644.789483711182</v>
      </c>
      <c r="G23" s="33">
        <f t="shared" si="2"/>
        <v>27472.37569060774</v>
      </c>
      <c r="H23" s="34">
        <f t="shared" si="3"/>
        <v>90117.165174318914</v>
      </c>
    </row>
    <row r="24" spans="1:8" ht="16">
      <c r="A24" s="28" t="s">
        <v>19</v>
      </c>
      <c r="B24" s="29">
        <v>13</v>
      </c>
      <c r="D24" s="30">
        <f t="shared" si="0"/>
        <v>35172.413793103449</v>
      </c>
      <c r="E24" s="31">
        <f t="shared" si="4"/>
        <v>27472.375690607732</v>
      </c>
      <c r="F24" s="32">
        <f t="shared" si="1"/>
        <v>62644.789483711182</v>
      </c>
      <c r="G24" s="33">
        <f t="shared" si="2"/>
        <v>27472.37569060774</v>
      </c>
      <c r="H24" s="34">
        <f t="shared" si="3"/>
        <v>90117.165174318914</v>
      </c>
    </row>
    <row r="25" spans="1:8" ht="16">
      <c r="A25" s="28" t="s">
        <v>20</v>
      </c>
      <c r="B25" s="29">
        <v>13</v>
      </c>
      <c r="D25" s="30">
        <f t="shared" si="0"/>
        <v>35172.413793103449</v>
      </c>
      <c r="E25" s="31">
        <f t="shared" si="4"/>
        <v>27472.375690607732</v>
      </c>
      <c r="F25" s="32">
        <f t="shared" si="1"/>
        <v>62644.789483711182</v>
      </c>
      <c r="G25" s="33">
        <f t="shared" si="2"/>
        <v>27472.37569060774</v>
      </c>
      <c r="H25" s="34">
        <f t="shared" si="3"/>
        <v>90117.165174318914</v>
      </c>
    </row>
    <row r="26" spans="1:8" ht="16">
      <c r="A26" s="28" t="s">
        <v>21</v>
      </c>
      <c r="B26" s="29">
        <v>13</v>
      </c>
      <c r="D26" s="30">
        <f t="shared" si="0"/>
        <v>35172.413793103449</v>
      </c>
      <c r="E26" s="31">
        <f t="shared" si="4"/>
        <v>27472.375690607732</v>
      </c>
      <c r="F26" s="32">
        <f t="shared" si="1"/>
        <v>62644.789483711182</v>
      </c>
      <c r="G26" s="33">
        <f t="shared" si="2"/>
        <v>27472.37569060774</v>
      </c>
      <c r="H26" s="34">
        <f t="shared" si="3"/>
        <v>90117.165174318914</v>
      </c>
    </row>
    <row r="27" spans="1:8" ht="16">
      <c r="A27" s="28" t="s">
        <v>22</v>
      </c>
      <c r="B27" s="29">
        <v>11</v>
      </c>
      <c r="C27" s="89"/>
      <c r="D27" s="30">
        <f t="shared" si="0"/>
        <v>35172.413793103449</v>
      </c>
      <c r="E27" s="31">
        <f t="shared" si="4"/>
        <v>23245.85635359116</v>
      </c>
      <c r="F27" s="32">
        <f t="shared" si="1"/>
        <v>58418.270146694609</v>
      </c>
      <c r="G27" s="33">
        <f t="shared" si="2"/>
        <v>23245.856353591163</v>
      </c>
      <c r="H27" s="34">
        <f t="shared" si="3"/>
        <v>81664.126500285769</v>
      </c>
    </row>
    <row r="28" spans="1:8" ht="16">
      <c r="A28" s="28" t="s">
        <v>23</v>
      </c>
      <c r="B28" s="29">
        <v>10</v>
      </c>
      <c r="D28" s="30">
        <f t="shared" si="0"/>
        <v>35172.413793103449</v>
      </c>
      <c r="E28" s="31">
        <f t="shared" si="4"/>
        <v>21132.59668508287</v>
      </c>
      <c r="F28" s="32">
        <f t="shared" si="1"/>
        <v>56305.010478186319</v>
      </c>
      <c r="G28" s="33">
        <f t="shared" si="2"/>
        <v>21132.596685082877</v>
      </c>
      <c r="H28" s="34">
        <f t="shared" si="3"/>
        <v>77437.607163269189</v>
      </c>
    </row>
    <row r="29" spans="1:8" ht="16">
      <c r="A29" s="35" t="s">
        <v>24</v>
      </c>
      <c r="B29" s="29">
        <v>10</v>
      </c>
      <c r="D29" s="30">
        <f t="shared" si="0"/>
        <v>35172.413793103449</v>
      </c>
      <c r="E29" s="31">
        <f t="shared" si="4"/>
        <v>21132.59668508287</v>
      </c>
      <c r="F29" s="32">
        <f t="shared" si="1"/>
        <v>56305.010478186319</v>
      </c>
      <c r="G29" s="33">
        <f t="shared" si="2"/>
        <v>21132.596685082877</v>
      </c>
      <c r="H29" s="34">
        <f t="shared" si="3"/>
        <v>77437.607163269189</v>
      </c>
    </row>
    <row r="30" spans="1:8" ht="17" thickBot="1">
      <c r="A30" s="36" t="s">
        <v>25</v>
      </c>
      <c r="B30" s="37">
        <v>9</v>
      </c>
      <c r="C30" s="2">
        <f>COUNT(B12:B30)</f>
        <v>19</v>
      </c>
      <c r="D30" s="30">
        <f t="shared" si="0"/>
        <v>35172.413793103449</v>
      </c>
      <c r="E30" s="31">
        <f t="shared" si="4"/>
        <v>19019.337016574584</v>
      </c>
      <c r="F30" s="32">
        <f t="shared" si="1"/>
        <v>54191.750809678037</v>
      </c>
      <c r="G30" s="33">
        <f t="shared" si="2"/>
        <v>19019.337016574587</v>
      </c>
      <c r="H30" s="34">
        <f t="shared" si="3"/>
        <v>73211.087826252624</v>
      </c>
    </row>
    <row r="31" spans="1:8" ht="16">
      <c r="A31" s="90" t="s">
        <v>26</v>
      </c>
      <c r="B31" s="22">
        <v>7</v>
      </c>
      <c r="D31" s="38">
        <f t="shared" si="0"/>
        <v>35172.413793103449</v>
      </c>
      <c r="E31" s="39">
        <f t="shared" si="4"/>
        <v>14792.817679558011</v>
      </c>
      <c r="F31" s="40">
        <f t="shared" si="1"/>
        <v>49965.231472661457</v>
      </c>
      <c r="G31" s="33">
        <f t="shared" si="2"/>
        <v>14792.817679558013</v>
      </c>
      <c r="H31" s="27">
        <f t="shared" si="3"/>
        <v>64758.049152219472</v>
      </c>
    </row>
    <row r="32" spans="1:8" ht="16">
      <c r="A32" s="35" t="s">
        <v>27</v>
      </c>
      <c r="B32" s="29">
        <v>7</v>
      </c>
      <c r="D32" s="30">
        <f t="shared" si="0"/>
        <v>35172.413793103449</v>
      </c>
      <c r="E32" s="31">
        <f t="shared" si="4"/>
        <v>14792.817679558011</v>
      </c>
      <c r="F32" s="32">
        <f t="shared" si="1"/>
        <v>49965.231472661457</v>
      </c>
      <c r="G32" s="33">
        <f t="shared" si="2"/>
        <v>14792.817679558013</v>
      </c>
      <c r="H32" s="34">
        <f t="shared" si="3"/>
        <v>64758.049152219472</v>
      </c>
    </row>
    <row r="33" spans="1:14" ht="16">
      <c r="A33" s="28" t="s">
        <v>28</v>
      </c>
      <c r="B33" s="29">
        <v>6</v>
      </c>
      <c r="D33" s="30">
        <f t="shared" si="0"/>
        <v>35172.413793103449</v>
      </c>
      <c r="E33" s="31">
        <f t="shared" si="4"/>
        <v>12679.558011049723</v>
      </c>
      <c r="F33" s="32">
        <f t="shared" si="1"/>
        <v>47851.971804153174</v>
      </c>
      <c r="G33" s="33">
        <f t="shared" si="2"/>
        <v>12679.558011049725</v>
      </c>
      <c r="H33" s="34">
        <f t="shared" si="3"/>
        <v>60531.529815202899</v>
      </c>
    </row>
    <row r="34" spans="1:14" ht="16">
      <c r="A34" s="41" t="s">
        <v>29</v>
      </c>
      <c r="B34" s="42">
        <v>5</v>
      </c>
      <c r="C34" s="43"/>
      <c r="D34" s="44">
        <f t="shared" si="0"/>
        <v>35172.413793103449</v>
      </c>
      <c r="E34" s="45">
        <f t="shared" si="4"/>
        <v>10566.298342541435</v>
      </c>
      <c r="F34" s="46">
        <f t="shared" si="1"/>
        <v>45738.712135644884</v>
      </c>
      <c r="G34" s="47">
        <f t="shared" si="2"/>
        <v>10566.298342541439</v>
      </c>
      <c r="H34" s="48">
        <f t="shared" si="3"/>
        <v>56305.010478186319</v>
      </c>
    </row>
    <row r="35" spans="1:14" ht="16">
      <c r="A35" s="28" t="s">
        <v>30</v>
      </c>
      <c r="B35" s="29">
        <v>4</v>
      </c>
      <c r="D35" s="30">
        <f t="shared" si="0"/>
        <v>35172.413793103449</v>
      </c>
      <c r="E35" s="31">
        <f t="shared" si="4"/>
        <v>8453.0386740331487</v>
      </c>
      <c r="F35" s="32">
        <f t="shared" si="1"/>
        <v>43625.452467136594</v>
      </c>
      <c r="G35" s="33">
        <f t="shared" si="2"/>
        <v>8453.0386740331505</v>
      </c>
      <c r="H35" s="34">
        <f t="shared" si="3"/>
        <v>52078.491141169747</v>
      </c>
    </row>
    <row r="36" spans="1:14" ht="16">
      <c r="A36" s="28" t="s">
        <v>31</v>
      </c>
      <c r="B36" s="29">
        <v>4</v>
      </c>
      <c r="D36" s="30">
        <f t="shared" si="0"/>
        <v>35172.413793103449</v>
      </c>
      <c r="E36" s="31">
        <f t="shared" si="4"/>
        <v>8453.0386740331487</v>
      </c>
      <c r="F36" s="32">
        <f t="shared" si="1"/>
        <v>43625.452467136594</v>
      </c>
      <c r="G36" s="33">
        <f t="shared" si="2"/>
        <v>8453.0386740331505</v>
      </c>
      <c r="H36" s="34">
        <f t="shared" si="3"/>
        <v>52078.491141169747</v>
      </c>
    </row>
    <row r="37" spans="1:14" ht="16">
      <c r="A37" s="28" t="s">
        <v>32</v>
      </c>
      <c r="B37" s="29">
        <v>4</v>
      </c>
      <c r="D37" s="30">
        <f t="shared" si="0"/>
        <v>35172.413793103449</v>
      </c>
      <c r="E37" s="31">
        <f t="shared" si="4"/>
        <v>8453.0386740331487</v>
      </c>
      <c r="F37" s="32">
        <f t="shared" si="1"/>
        <v>43625.452467136594</v>
      </c>
      <c r="G37" s="33">
        <f t="shared" si="2"/>
        <v>8453.0386740331505</v>
      </c>
      <c r="H37" s="34">
        <f t="shared" si="3"/>
        <v>52078.491141169747</v>
      </c>
    </row>
    <row r="38" spans="1:14" ht="16">
      <c r="A38" s="28" t="s">
        <v>33</v>
      </c>
      <c r="B38" s="29">
        <v>3</v>
      </c>
      <c r="D38" s="30">
        <f t="shared" si="0"/>
        <v>35172.413793103449</v>
      </c>
      <c r="E38" s="31">
        <f t="shared" si="4"/>
        <v>6339.7790055248615</v>
      </c>
      <c r="F38" s="32">
        <f t="shared" si="1"/>
        <v>41512.192798628312</v>
      </c>
      <c r="G38" s="33">
        <f t="shared" si="2"/>
        <v>6339.7790055248624</v>
      </c>
      <c r="H38" s="34">
        <f t="shared" si="3"/>
        <v>47851.971804153174</v>
      </c>
    </row>
    <row r="39" spans="1:14" ht="16">
      <c r="A39" s="28" t="s">
        <v>34</v>
      </c>
      <c r="B39" s="29">
        <v>3</v>
      </c>
      <c r="D39" s="30">
        <f t="shared" si="0"/>
        <v>35172.413793103449</v>
      </c>
      <c r="E39" s="31">
        <f t="shared" si="4"/>
        <v>6339.7790055248615</v>
      </c>
      <c r="F39" s="32">
        <f t="shared" si="1"/>
        <v>41512.192798628312</v>
      </c>
      <c r="G39" s="33">
        <f t="shared" si="2"/>
        <v>6339.7790055248624</v>
      </c>
      <c r="H39" s="34">
        <f t="shared" si="3"/>
        <v>47851.971804153174</v>
      </c>
    </row>
    <row r="40" spans="1:14" ht="17" thickBot="1">
      <c r="A40" s="36" t="s">
        <v>35</v>
      </c>
      <c r="B40" s="37">
        <v>1</v>
      </c>
      <c r="C40" s="2">
        <f>COUNT(B31:B40)</f>
        <v>10</v>
      </c>
      <c r="D40" s="49">
        <f t="shared" si="0"/>
        <v>35172.413793103449</v>
      </c>
      <c r="E40" s="50">
        <f t="shared" si="4"/>
        <v>2113.2596685082872</v>
      </c>
      <c r="F40" s="51">
        <f t="shared" si="1"/>
        <v>37285.673461611739</v>
      </c>
      <c r="G40" s="52">
        <f t="shared" si="2"/>
        <v>2113.2596685082876</v>
      </c>
      <c r="H40" s="53">
        <f t="shared" si="3"/>
        <v>39398.933130120029</v>
      </c>
    </row>
    <row r="41" spans="1:14" ht="16">
      <c r="A41" s="54" t="s">
        <v>36</v>
      </c>
      <c r="B41" s="55">
        <f>SUM(B12:B40)</f>
        <v>362</v>
      </c>
      <c r="C41" s="56">
        <f>SUM(C30:C40)</f>
        <v>29</v>
      </c>
      <c r="D41" s="57">
        <f>SUM(D12:D40)</f>
        <v>1019999.9999999994</v>
      </c>
      <c r="E41" s="57">
        <f>SUM(E12:E40)</f>
        <v>764999.99999999988</v>
      </c>
      <c r="F41" s="58">
        <f>SUM(F12:F40)</f>
        <v>1784999.9999999998</v>
      </c>
      <c r="G41" s="58">
        <f>SUM(G12:G40)</f>
        <v>765000.00000000012</v>
      </c>
      <c r="H41" s="58">
        <f>SUM(H12:H40)</f>
        <v>2550000.0000000005</v>
      </c>
    </row>
    <row r="42" spans="1:14" ht="16">
      <c r="A42" s="59"/>
      <c r="B42" s="60"/>
      <c r="D42" s="57"/>
      <c r="E42" s="57"/>
      <c r="F42" s="57"/>
      <c r="G42" s="57"/>
      <c r="H42" s="57"/>
    </row>
    <row r="43" spans="1:14" ht="16">
      <c r="A43" s="61" t="s">
        <v>37</v>
      </c>
      <c r="B43" s="62">
        <v>0.7</v>
      </c>
      <c r="D43" s="63">
        <v>0.4</v>
      </c>
      <c r="E43" s="63">
        <f>F43-D43</f>
        <v>0.29999999999999993</v>
      </c>
      <c r="F43" s="63">
        <f>B43</f>
        <v>0.7</v>
      </c>
      <c r="G43" s="64">
        <f>1-F43</f>
        <v>0.30000000000000004</v>
      </c>
      <c r="H43" s="63">
        <f>H44/H44</f>
        <v>1</v>
      </c>
    </row>
    <row r="44" spans="1:14" hidden="1">
      <c r="D44" s="65">
        <f>H44*D43</f>
        <v>2040000</v>
      </c>
      <c r="E44" s="65">
        <f>H44*E43</f>
        <v>1529999.9999999998</v>
      </c>
      <c r="F44" s="65">
        <f>H44*F43</f>
        <v>3570000</v>
      </c>
      <c r="G44" s="65">
        <f>H44*G43</f>
        <v>1530000.0000000002</v>
      </c>
      <c r="H44" s="66">
        <f>D8</f>
        <v>5100000</v>
      </c>
      <c r="J44" s="65" t="e">
        <f>#REF!*#REF!</f>
        <v>#REF!</v>
      </c>
      <c r="K44" s="65" t="e">
        <f>#REF!*#REF!</f>
        <v>#REF!</v>
      </c>
      <c r="L44" s="67"/>
      <c r="M44" s="65"/>
      <c r="N44" s="66" t="e">
        <f>#REF!</f>
        <v>#REF!</v>
      </c>
    </row>
    <row r="45" spans="1:14" hidden="1">
      <c r="D45" s="68">
        <f>D44/C41</f>
        <v>70344.827586206899</v>
      </c>
      <c r="E45" s="68">
        <f>E44/B41</f>
        <v>4226.5193370165744</v>
      </c>
      <c r="F45" s="68">
        <f>F44/B41</f>
        <v>9861.8784530386747</v>
      </c>
      <c r="G45" s="68">
        <f>G44/B41</f>
        <v>4226.5193370165753</v>
      </c>
      <c r="H45" s="69">
        <f>H44/B41</f>
        <v>14088.397790055249</v>
      </c>
      <c r="J45" s="68" t="e">
        <f>J44/C30</f>
        <v>#REF!</v>
      </c>
      <c r="K45" s="68" t="e">
        <f>K44/B41</f>
        <v>#REF!</v>
      </c>
      <c r="M45" s="68"/>
      <c r="N45" s="69"/>
    </row>
  </sheetData>
  <mergeCells count="7">
    <mergeCell ref="H10:H11"/>
    <mergeCell ref="A11:B11"/>
    <mergeCell ref="A6:C6"/>
    <mergeCell ref="A7:C7"/>
    <mergeCell ref="A8:C8"/>
    <mergeCell ref="D10:F10"/>
    <mergeCell ref="G10:G11"/>
  </mergeCells>
  <pageMargins left="0.7" right="0.7" top="0.78740157499999996" bottom="0.78740157499999996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64"/>
  <sheetViews>
    <sheetView tabSelected="1" zoomScale="125" zoomScaleNormal="125" workbookViewId="0">
      <selection activeCell="A4" sqref="A4"/>
    </sheetView>
  </sheetViews>
  <sheetFormatPr baseColWidth="10" defaultColWidth="8.83203125" defaultRowHeight="15"/>
  <cols>
    <col min="1" max="1" width="45.5" customWidth="1"/>
    <col min="2" max="2" width="20.5" customWidth="1"/>
    <col min="3" max="3" width="18.83203125" customWidth="1"/>
    <col min="4" max="4" width="17.33203125" bestFit="1" customWidth="1"/>
    <col min="5" max="5" width="12.33203125" bestFit="1" customWidth="1"/>
  </cols>
  <sheetData>
    <row r="1" spans="1:6" ht="18.75" customHeight="1">
      <c r="A1" s="266" t="s">
        <v>83</v>
      </c>
      <c r="B1" s="266"/>
      <c r="C1" s="266"/>
      <c r="D1" s="266"/>
    </row>
    <row r="2" spans="1:6" ht="18.75" customHeight="1">
      <c r="A2" s="266"/>
      <c r="B2" s="266"/>
      <c r="C2" s="266"/>
      <c r="D2" s="266"/>
    </row>
    <row r="3" spans="1:6" ht="18.75" customHeight="1">
      <c r="A3" s="266"/>
      <c r="B3" s="266"/>
      <c r="C3" s="266"/>
      <c r="D3" s="266"/>
    </row>
    <row r="4" spans="1:6" ht="16">
      <c r="A4" s="3" t="s">
        <v>202</v>
      </c>
    </row>
    <row r="5" spans="1:6" ht="16">
      <c r="A5" s="4" t="s">
        <v>154</v>
      </c>
    </row>
    <row r="6" spans="1:6" ht="16.5" customHeight="1">
      <c r="A6" s="5"/>
    </row>
    <row r="7" spans="1:6">
      <c r="A7" s="5"/>
    </row>
    <row r="8" spans="1:6" ht="105.75" customHeight="1" thickBot="1">
      <c r="A8" s="126" t="s">
        <v>79</v>
      </c>
      <c r="F8" t="s">
        <v>94</v>
      </c>
    </row>
    <row r="9" spans="1:6" ht="17" thickBot="1">
      <c r="A9" s="143" t="s">
        <v>54</v>
      </c>
      <c r="B9" s="144"/>
      <c r="C9" s="145"/>
    </row>
    <row r="10" spans="1:6" ht="16.5" customHeight="1" thickBot="1">
      <c r="A10" s="101" t="s">
        <v>166</v>
      </c>
      <c r="B10" s="106"/>
      <c r="C10" s="93">
        <f>SUM('1.tranše'!F10,'2.tranše'!F10,'3.tranše'!F10,'4.tranše'!F9,'5.tranše'!F8,'6.tranše'!F8,'7.tranše'!F8,'8.tranše'!F8,'9.tranše'!F10,'11.tranše'!F10, '10.tranše'!F10,'12.tranše'!F9)</f>
        <v>15696000</v>
      </c>
    </row>
    <row r="11" spans="1:6" ht="16.5" customHeight="1" thickBot="1">
      <c r="A11" s="99"/>
      <c r="B11" s="100"/>
    </row>
    <row r="12" spans="1:6" ht="16.5" customHeight="1" thickBot="1">
      <c r="A12" s="168" t="s">
        <v>193</v>
      </c>
      <c r="B12" s="167"/>
      <c r="C12" s="189">
        <f>SUM('4.tranše'!F12,'5.tranše'!F11,'6.tranše'!F11,'9.tranše'!F13, '11.tranše'!I13, '10.tranše'!F13,'12.tranše'!F12)</f>
        <v>4300000</v>
      </c>
    </row>
    <row r="13" spans="1:6" ht="16.5" customHeight="1" thickBot="1">
      <c r="A13" s="188" t="s">
        <v>195</v>
      </c>
      <c r="B13" s="100"/>
      <c r="C13" s="205">
        <v>1111012</v>
      </c>
    </row>
    <row r="14" spans="1:6" ht="16.5" customHeight="1" thickBot="1">
      <c r="A14" s="188" t="s">
        <v>129</v>
      </c>
      <c r="B14" s="100"/>
      <c r="C14" s="190">
        <f>SUM(C12,-C13, )</f>
        <v>3188988</v>
      </c>
    </row>
    <row r="15" spans="1:6" ht="16.5" customHeight="1">
      <c r="A15" s="99"/>
      <c r="B15" s="100"/>
    </row>
    <row r="16" spans="1:6" s="11" customFormat="1" ht="16.5" customHeight="1" thickBot="1">
      <c r="A16" s="9"/>
      <c r="C16" s="12"/>
      <c r="D16" s="13"/>
    </row>
    <row r="17" spans="1:4" s="9" customFormat="1" ht="65.25" customHeight="1" thickBot="1">
      <c r="B17" s="261" t="s">
        <v>196</v>
      </c>
      <c r="C17" s="262"/>
      <c r="D17" s="263"/>
    </row>
    <row r="18" spans="1:4" s="20" customFormat="1" ht="17" thickBot="1">
      <c r="A18" s="181" t="s">
        <v>66</v>
      </c>
      <c r="B18" s="180" t="s">
        <v>85</v>
      </c>
      <c r="C18" s="182" t="s">
        <v>86</v>
      </c>
      <c r="D18" s="183" t="s">
        <v>165</v>
      </c>
    </row>
    <row r="19" spans="1:4" ht="16">
      <c r="A19" s="177" t="s">
        <v>7</v>
      </c>
      <c r="B19" s="24">
        <f>SUM('1.tranše'!F17,'2.tranše'!F17,'3.tranše'!F17,'4.tranše'!F17, '5.tranše'!F17, '6.tranše'!F17, '7.tranše'!F17,'8.tranše'!F17,'9.tranše'!F19, '10.tranše'!F19,'11.tranše'!I19,'12.tranše'!F18,'Odměny repre 2017'!B12)</f>
        <v>486209.37547364511</v>
      </c>
      <c r="C19" s="24">
        <v>337417</v>
      </c>
      <c r="D19" s="220">
        <f>(B19-C19)</f>
        <v>148792.37547364511</v>
      </c>
    </row>
    <row r="20" spans="1:4" ht="16.5" customHeight="1">
      <c r="A20" s="134" t="s">
        <v>11</v>
      </c>
      <c r="B20" s="31">
        <f>SUM('1.tranše'!F18,'2.tranše'!F18,'3.tranše'!F18,'4.tranše'!F18, '5.tranše'!F18, '6.tranše'!F18, '7.tranše'!F18, '8.tranše'!F18,'9.tranše'!F20, '10.tranše'!F20,'11.tranše'!I20,'12.tranše'!F19,'Odměny repre 2017'!B13)</f>
        <v>428831.96230004192</v>
      </c>
      <c r="C20" s="31">
        <v>387400</v>
      </c>
      <c r="D20" s="221">
        <f t="shared" ref="D20:D59" si="0">(B20-C20)</f>
        <v>41431.962300041923</v>
      </c>
    </row>
    <row r="21" spans="1:4" ht="16">
      <c r="A21" s="248" t="s">
        <v>12</v>
      </c>
      <c r="B21" s="31">
        <f>SUM('1.tranše'!F19,'2.tranše'!F19,'3.tranše'!F19,'4.tranše'!F19, '5.tranše'!F19, '6.tranše'!F19, '7.tranše'!F19, '8.tranše'!F19,'9.tranše'!F21,'10.tranše'!F21,'11.tranše'!I21,'12.tranše'!F20,'Odměny repre 2017'!B14)</f>
        <v>479974.82620802725</v>
      </c>
      <c r="C21" s="31">
        <v>479975</v>
      </c>
      <c r="D21" s="238">
        <f t="shared" si="0"/>
        <v>-0.17379197274567559</v>
      </c>
    </row>
    <row r="22" spans="1:4" ht="16">
      <c r="A22" s="248" t="s">
        <v>57</v>
      </c>
      <c r="B22" s="31">
        <f>SUM('1.tranše'!F20,'2.tranše'!F20,'3.tranše'!F20,'4.tranše'!F20, '5.tranše'!F20, '6.tranše'!F20, '7.tranše'!F20, '8.tranše'!F20,'9.tranše'!F22,'10.tranše'!F22,'11.tranše'!I22,'12.tranše'!F21,'Odměny repre 2017'!B15)</f>
        <v>584472.95219034189</v>
      </c>
      <c r="C22" s="31">
        <v>584473</v>
      </c>
      <c r="D22" s="238">
        <f t="shared" si="0"/>
        <v>-4.7809658106416464E-2</v>
      </c>
    </row>
    <row r="23" spans="1:4" ht="16">
      <c r="A23" s="134" t="s">
        <v>8</v>
      </c>
      <c r="B23" s="31">
        <f>SUM('1.tranše'!F21,'2.tranše'!F21,'3.tranše'!F21,'4.tranše'!F21, '5.tranše'!F21, '6.tranše'!F21, '7.tranše'!F21, '8.tranše'!F21,'9.tranše'!F23,'10.tranše'!F23,'11.tranše'!I23,'12.tranše'!F22,'Odměny repre 2017'!B16)</f>
        <v>466220.19733201416</v>
      </c>
      <c r="C23" s="31">
        <v>440720</v>
      </c>
      <c r="D23" s="221">
        <f t="shared" si="0"/>
        <v>25500.197332014155</v>
      </c>
    </row>
    <row r="24" spans="1:4" ht="16.5" customHeight="1">
      <c r="A24" s="134" t="s">
        <v>69</v>
      </c>
      <c r="B24" s="31">
        <f>SUM('1.tranše'!F22,'2.tranše'!F22,'3.tranše'!F22,'4.tranše'!F22, '5.tranše'!F22, '6.tranše'!F22, '7.tranše'!F22, '8.tranše'!F22,'9.tranše'!F24,'10.tranše'!F24,'11.tranše'!I24,'12.tranše'!F23,'Odměny repre 2017'!B17)</f>
        <v>410982.5350902786</v>
      </c>
      <c r="C24" s="31">
        <v>390743</v>
      </c>
      <c r="D24" s="221">
        <f t="shared" si="0"/>
        <v>20239.535090278601</v>
      </c>
    </row>
    <row r="25" spans="1:4" ht="16.5" customHeight="1">
      <c r="A25" s="134" t="s">
        <v>13</v>
      </c>
      <c r="B25" s="31">
        <f>SUM('1.tranše'!F23,'2.tranše'!F23,'3.tranše'!F23,'4.tranše'!F23, '5.tranše'!F23, '6.tranše'!F23, '7.tranše'!F23, '8.tranše'!F23,'9.tranše'!F25,'10.tranše'!F25,'11.tranše'!I25,'12.tranše'!F24,'Odměny repre 2017'!B18)</f>
        <v>364209.08732484502</v>
      </c>
      <c r="C25" s="31">
        <v>363797</v>
      </c>
      <c r="D25" s="221">
        <f t="shared" si="0"/>
        <v>412.08732484502252</v>
      </c>
    </row>
    <row r="26" spans="1:4" ht="16">
      <c r="A26" s="243" t="s">
        <v>60</v>
      </c>
      <c r="B26" s="31">
        <f>SUM('1.tranše'!F24,'2.tranše'!F24,'3.tranše'!F24,'4.tranše'!F24, '5.tranše'!F24, '6.tranše'!F24, '7.tranše'!F24, '8.tranše'!F24,'9.tranše'!F26,'10.tranše'!F26,'11.tranše'!I26,'12.tranše'!F25,'Odměny repre 2017'!B19)</f>
        <v>296298.25318080658</v>
      </c>
      <c r="C26" s="31">
        <v>296298</v>
      </c>
      <c r="D26" s="242">
        <f t="shared" si="0"/>
        <v>0.25318080658325925</v>
      </c>
    </row>
    <row r="27" spans="1:4" ht="16">
      <c r="A27" s="136" t="s">
        <v>10</v>
      </c>
      <c r="B27" s="31">
        <f>SUM('1.tranše'!F25,'2.tranše'!F25,'3.tranše'!F25,'4.tranše'!F25, '5.tranše'!F25, '6.tranše'!F25, '7.tranše'!F25, '8.tranše'!F25,'9.tranše'!F27,'10.tranše'!F27,'11.tranše'!I27,'12.tranše'!F26,'Odměny repre 2017'!B20)</f>
        <v>390612.57808036514</v>
      </c>
      <c r="C27" s="31">
        <v>320000</v>
      </c>
      <c r="D27" s="221">
        <f t="shared" si="0"/>
        <v>70612.578080365143</v>
      </c>
    </row>
    <row r="28" spans="1:4" ht="16">
      <c r="A28" s="240" t="s">
        <v>21</v>
      </c>
      <c r="B28" s="31">
        <f>SUM('1.tranše'!F26,'2.tranše'!F26,'3.tranše'!F26,'4.tranše'!F26, '5.tranše'!F26, '6.tranše'!F26, '7.tranše'!F26, '8.tranše'!F26,'9.tranše'!F28,'10.tranše'!F28,'11.tranše'!I28,'12.tranše'!F27,'Odměny repre 2017'!B21)</f>
        <v>267877.7390541861</v>
      </c>
      <c r="C28" s="31">
        <v>267878</v>
      </c>
      <c r="D28" s="238">
        <f t="shared" si="0"/>
        <v>-0.26094581390498206</v>
      </c>
    </row>
    <row r="29" spans="1:4" ht="16">
      <c r="A29" s="134" t="s">
        <v>28</v>
      </c>
      <c r="B29" s="31">
        <f>SUM('1.tranše'!F27,'2.tranše'!F27,'3.tranše'!F27,'4.tranše'!F27, '5.tranše'!F27, '6.tranše'!F27, '7.tranše'!F27, '8.tranše'!F27,'9.tranše'!F29,'10.tranše'!F29,'11.tranše'!I29,'12.tranše'!F28,'Odměny repre 2017'!B22)</f>
        <v>423394.92669336259</v>
      </c>
      <c r="C29" s="31">
        <v>306171</v>
      </c>
      <c r="D29" s="221">
        <f t="shared" si="0"/>
        <v>117223.92669336259</v>
      </c>
    </row>
    <row r="30" spans="1:4" ht="16">
      <c r="A30" s="241" t="s">
        <v>61</v>
      </c>
      <c r="B30" s="31">
        <f>SUM('1.tranše'!F28,'2.tranše'!F28,'3.tranše'!F28,'4.tranše'!F28, '5.tranše'!F28, '6.tranše'!F28, '7.tranše'!F28, '8.tranše'!F28,'9.tranše'!F30,'10.tranše'!F30,'11.tranše'!I30,'12.tranše'!F29,'Odměny repre 2017'!B23)</f>
        <v>343546.32393394248</v>
      </c>
      <c r="C30" s="31">
        <v>343546</v>
      </c>
      <c r="D30" s="242">
        <f t="shared" si="0"/>
        <v>0.32393394247628748</v>
      </c>
    </row>
    <row r="31" spans="1:4" ht="16">
      <c r="A31" s="136" t="s">
        <v>24</v>
      </c>
      <c r="B31" s="31">
        <f>SUM('1.tranše'!F29,'2.tranše'!F29,'3.tranše'!F29,'4.tranše'!F29, '5.tranše'!F29, '6.tranše'!F29, '7.tranše'!F29, '8.tranše'!F29,'9.tranše'!F31,'10.tranše'!F31,'11.tranše'!I31,'12.tranše'!F30,'Odměny repre 2017'!B24)</f>
        <v>349129.81626349554</v>
      </c>
      <c r="C31" s="31">
        <v>290843</v>
      </c>
      <c r="D31" s="221">
        <f t="shared" si="0"/>
        <v>58286.816263495537</v>
      </c>
    </row>
    <row r="32" spans="1:4" ht="16">
      <c r="A32" s="134" t="s">
        <v>20</v>
      </c>
      <c r="B32" s="31">
        <f>SUM('1.tranše'!F30,'2.tranše'!F30,'3.tranše'!F30,'4.tranše'!F30, '5.tranše'!F30, '6.tranše'!F30, '7.tranše'!F30, '8.tranše'!F30,'9.tranše'!F32,'10.tranše'!F32,'11.tranše'!I32,'12.tranše'!F31,'Odměny repre 2017'!B25)</f>
        <v>301149.2759674539</v>
      </c>
      <c r="C32" s="31">
        <v>280000</v>
      </c>
      <c r="D32" s="221">
        <f t="shared" si="0"/>
        <v>21149.275967453897</v>
      </c>
    </row>
    <row r="33" spans="1:4" ht="16">
      <c r="A33" s="240" t="s">
        <v>25</v>
      </c>
      <c r="B33" s="31">
        <f>SUM('1.tranše'!F31,'2.tranše'!F31,'3.tranše'!F31,'4.tranše'!F31, '5.tranše'!F31, '6.tranše'!F31, '7.tranše'!F31, '8.tranše'!F31,'9.tranše'!F33,'10.tranše'!F33,'11.tranše'!I33,'12.tranše'!F32,'Odměny repre 2017'!B26)</f>
        <v>276329.66869599157</v>
      </c>
      <c r="C33" s="31">
        <v>276330</v>
      </c>
      <c r="D33" s="238">
        <f t="shared" si="0"/>
        <v>-0.33130400843219832</v>
      </c>
    </row>
    <row r="34" spans="1:4" ht="16">
      <c r="A34" s="136" t="s">
        <v>74</v>
      </c>
      <c r="B34" s="31">
        <f>SUM('1.tranše'!F32,'2.tranše'!F32,'3.tranše'!F32,'4.tranše'!F32, '5.tranše'!F32, '6.tranše'!F32, '7.tranše'!F32, '8.tranše'!F32,'9.tranše'!F34,'10.tranše'!F34,'11.tranše'!I34,'12.tranše'!F33,'Odměny repre 2017'!B27)</f>
        <v>345095.96443913772</v>
      </c>
      <c r="C34" s="31">
        <v>234460</v>
      </c>
      <c r="D34" s="221">
        <f t="shared" si="0"/>
        <v>110635.96443913772</v>
      </c>
    </row>
    <row r="35" spans="1:4" ht="16">
      <c r="A35" s="240" t="s">
        <v>73</v>
      </c>
      <c r="B35" s="31">
        <f>SUM('1.tranše'!F33,'2.tranše'!F33,'3.tranše'!F33,'4.tranše'!F33, '5.tranše'!F33, '6.tranše'!F33, '7.tranše'!F33, '8.tranše'!F33,'9.tranše'!F35,'10.tranše'!F35,'11.tranše'!I35,'12.tranše'!F34,'Odměny repre 2017'!B28)</f>
        <v>504172.67653901549</v>
      </c>
      <c r="C35" s="31">
        <v>504173</v>
      </c>
      <c r="D35" s="238">
        <f t="shared" si="0"/>
        <v>-0.32346098450943828</v>
      </c>
    </row>
    <row r="36" spans="1:4" ht="16">
      <c r="A36" s="240" t="s">
        <v>23</v>
      </c>
      <c r="B36" s="31">
        <f>SUM('1.tranše'!F34,'2.tranše'!F34,'3.tranše'!F34,'4.tranše'!F34, '5.tranše'!F34, '6.tranše'!F34, '7.tranše'!F34, '8.tranše'!F34,'9.tranše'!F36,'10.tranše'!F36,'11.tranše'!I36,'12.tranše'!F35,'Odměny repre 2017'!B29)</f>
        <v>276540.06741202768</v>
      </c>
      <c r="C36" s="31">
        <v>276540</v>
      </c>
      <c r="D36" s="238">
        <f t="shared" si="0"/>
        <v>6.7412027681712061E-2</v>
      </c>
    </row>
    <row r="37" spans="1:4" ht="16">
      <c r="A37" s="270" t="s">
        <v>27</v>
      </c>
      <c r="B37" s="31">
        <f>SUM('1.tranše'!F35,'2.tranše'!F35,'3.tranše'!F35,'4.tranše'!F35, '5.tranše'!F35, '6.tranše'!F35, '7.tranše'!F35, '8.tranše'!F35,'9.tranše'!F37,'10.tranše'!F37,'11.tranše'!I37,'12.tranše'!F36,'Odměny repre 2017'!B30)</f>
        <v>317026.62582935562</v>
      </c>
      <c r="C37" s="31">
        <v>317027</v>
      </c>
      <c r="D37" s="238">
        <f t="shared" si="0"/>
        <v>-0.37417064438341185</v>
      </c>
    </row>
    <row r="38" spans="1:4" ht="16">
      <c r="A38" s="134" t="s">
        <v>33</v>
      </c>
      <c r="B38" s="31">
        <f>SUM('1.tranše'!F36,'2.tranše'!F36,'3.tranše'!F36,'4.tranše'!F36, '5.tranše'!F36, '6.tranše'!F36, '7.tranše'!F36, '8.tranše'!F36,'9.tranše'!F38, '10.tranše'!F38,'11.tranše'!I38,'12.tranše'!F37,'Odměny repre 2017'!B31)</f>
        <v>344828.4100872394</v>
      </c>
      <c r="C38" s="31">
        <v>342016</v>
      </c>
      <c r="D38" s="221">
        <f t="shared" si="0"/>
        <v>2812.4100872394047</v>
      </c>
    </row>
    <row r="39" spans="1:4" ht="16">
      <c r="A39" s="134" t="s">
        <v>64</v>
      </c>
      <c r="B39" s="31">
        <f>SUM('1.tranše'!F37,'2.tranše'!F37,'3.tranše'!F37,'4.tranše'!F37, '5.tranše'!F37, '6.tranše'!F37, '7.tranše'!F37, '8.tranše'!F37,'9.tranše'!F39,'10.tranše'!F39,'11.tranše'!I39,'12.tranše'!F38,'Odměny repre 2017'!B32)</f>
        <v>438381.37659201416</v>
      </c>
      <c r="C39" s="31">
        <v>431931</v>
      </c>
      <c r="D39" s="221">
        <f t="shared" si="0"/>
        <v>6450.3765920141595</v>
      </c>
    </row>
    <row r="40" spans="1:4" ht="16">
      <c r="A40" s="240" t="s">
        <v>16</v>
      </c>
      <c r="B40" s="31">
        <f>SUM('1.tranše'!F38,'2.tranše'!F38,'3.tranše'!F38,'4.tranše'!F38, '5.tranše'!F38, '6.tranše'!F38, '7.tranše'!F38, '8.tranše'!F38,'9.tranše'!F40,'10.tranše'!F40,'11.tranše'!I40,'12.tranše'!F39,'Odměny repre 2017'!B33)</f>
        <v>303460.2489506143</v>
      </c>
      <c r="C40" s="31">
        <v>303460</v>
      </c>
      <c r="D40" s="238">
        <f t="shared" si="0"/>
        <v>0.24895061430288479</v>
      </c>
    </row>
    <row r="41" spans="1:4" ht="16">
      <c r="A41" s="134" t="s">
        <v>63</v>
      </c>
      <c r="B41" s="31">
        <f>SUM('1.tranše'!F39,'2.tranše'!F39,'3.tranše'!F39,'4.tranše'!F39, '5.tranše'!F39, '6.tranše'!F39, '7.tranše'!F39, '8.tranše'!F39,'9.tranše'!F41, '10.tranše'!F41,'11.tranše'!I41,'12.tranše'!F40,'Odměny repre 2017'!B34)</f>
        <v>302571.85852860578</v>
      </c>
      <c r="C41" s="31">
        <v>255460.42</v>
      </c>
      <c r="D41" s="221">
        <f t="shared" si="0"/>
        <v>47111.438528605766</v>
      </c>
    </row>
    <row r="42" spans="1:4" ht="16">
      <c r="A42" s="134" t="s">
        <v>19</v>
      </c>
      <c r="B42" s="31">
        <f>SUM('1.tranše'!F40,'2.tranše'!F40,'3.tranše'!F40,'4.tranše'!F40, '5.tranše'!F40, '6.tranše'!F40, '7.tranše'!F40, '8.tranše'!F40,'9.tranše'!F42,'10.tranše'!F42,'11.tranše'!I42,'12.tranše'!F41,'Odměny repre 2017'!B35)</f>
        <v>292310.06888169103</v>
      </c>
      <c r="C42" s="31">
        <v>253851</v>
      </c>
      <c r="D42" s="221">
        <f t="shared" si="0"/>
        <v>38459.068881691026</v>
      </c>
    </row>
    <row r="43" spans="1:4" ht="16">
      <c r="A43" s="240" t="s">
        <v>29</v>
      </c>
      <c r="B43" s="31">
        <f>SUM('1.tranše'!F41,'2.tranše'!F41,'3.tranše'!F41,'4.tranše'!F41, '5.tranše'!F41, '6.tranše'!F41, '7.tranše'!F41, '8.tranše'!F41,'9.tranše'!F43,'10.tranše'!F43,'11.tranše'!I43,'12.tranše'!F42,'Odměny repre 2017'!B36)</f>
        <v>249821.96155049599</v>
      </c>
      <c r="C43" s="31">
        <v>249822</v>
      </c>
      <c r="D43" s="238">
        <f t="shared" si="0"/>
        <v>-3.844950400525704E-2</v>
      </c>
    </row>
    <row r="44" spans="1:4" ht="16">
      <c r="A44" s="138" t="s">
        <v>62</v>
      </c>
      <c r="B44" s="31">
        <f>SUM('1.tranše'!F42,'2.tranše'!F42,'3.tranše'!F42,'4.tranše'!F42, '5.tranše'!F42, '6.tranše'!F42, '7.tranše'!F42, '8.tranše'!F42,'9.tranše'!F44,'10.tranše'!F44,'11.tranše'!I44,'12.tranše'!F43,'Odměny repre 2017'!B37)</f>
        <v>231699.36168997502</v>
      </c>
      <c r="C44" s="31">
        <v>220249</v>
      </c>
      <c r="D44" s="221">
        <f t="shared" si="0"/>
        <v>11450.36168997502</v>
      </c>
    </row>
    <row r="45" spans="1:4" ht="16">
      <c r="A45" s="138" t="s">
        <v>32</v>
      </c>
      <c r="B45" s="31">
        <f>SUM('1.tranše'!F43,'2.tranše'!F43,'3.tranše'!F43,'4.tranše'!F43, '5.tranše'!F43, '6.tranše'!F43, '7.tranše'!F43, '8.tranše'!F43,'9.tranše'!F45,'10.tranše'!F45,'11.tranše'!I45,'12.tranše'!F44,'Odměny repre 2017'!B38)</f>
        <v>269332.76705717662</v>
      </c>
      <c r="C45" s="31">
        <v>47251</v>
      </c>
      <c r="D45" s="221">
        <f t="shared" si="0"/>
        <v>222081.76705717662</v>
      </c>
    </row>
    <row r="46" spans="1:4" ht="16">
      <c r="A46" s="134" t="s">
        <v>58</v>
      </c>
      <c r="B46" s="31">
        <f>SUM('1.tranše'!F44,'2.tranše'!F44,'3.tranše'!F44,'4.tranše'!F44, '5.tranše'!F44, '6.tranše'!F44, '7.tranše'!F44, '8.tranše'!F44,'9.tranše'!F46,'10.tranše'!F46,'11.tranše'!I46,'12.tranše'!F45,'Odměny repre 2017'!B39)</f>
        <v>188225.00224152152</v>
      </c>
      <c r="C46" s="31">
        <v>149860</v>
      </c>
      <c r="D46" s="221">
        <f t="shared" si="0"/>
        <v>38365.002241521521</v>
      </c>
    </row>
    <row r="47" spans="1:4" ht="16">
      <c r="A47" s="240" t="s">
        <v>75</v>
      </c>
      <c r="B47" s="31">
        <f>SUM('1.tranše'!F45,'2.tranše'!F45,'3.tranše'!F45,'4.tranše'!F45, '5.tranše'!F45, '6.tranše'!F45, '7.tranše'!F45, '8.tranše'!F45,'9.tranše'!F47,'10.tranše'!F47,'11.tranše'!I47,'12.tranše'!F46,'Odměny repre 2017'!B40)</f>
        <v>271701.93175459647</v>
      </c>
      <c r="C47" s="31">
        <v>271702</v>
      </c>
      <c r="D47" s="238">
        <f t="shared" si="0"/>
        <v>-6.8245403526816517E-2</v>
      </c>
    </row>
    <row r="48" spans="1:4" ht="16">
      <c r="A48" s="247" t="s">
        <v>76</v>
      </c>
      <c r="B48" s="31">
        <f>SUM('1.tranše'!F46,'2.tranše'!F46,'3.tranše'!F46,'4.tranše'!F46, '5.tranše'!F46, '6.tranše'!F46, '7.tranše'!F46, '8.tranše'!F46,'9.tranše'!F48,'10.tranše'!F48,'11.tranše'!I48,'12.tranše'!F47,'Odměny repre 2017'!B41)</f>
        <v>182078.63116088122</v>
      </c>
      <c r="C48" s="31">
        <v>182079</v>
      </c>
      <c r="D48" s="238">
        <f t="shared" si="0"/>
        <v>-0.36883911877521314</v>
      </c>
    </row>
    <row r="49" spans="1:4" ht="16">
      <c r="A49" s="240" t="s">
        <v>77</v>
      </c>
      <c r="B49" s="31">
        <f>SUM('1.tranše'!F47,'2.tranše'!F47,'3.tranše'!F47,'4.tranše'!F47, '5.tranše'!F47, '6.tranše'!F47, '7.tranše'!F47, '8.tranše'!F47,'9.tranše'!F49,'10.tranše'!F49,'12.tranše'!F48,'Odměny repre 2017'!B42)</f>
        <v>0</v>
      </c>
      <c r="C49" s="31">
        <v>0</v>
      </c>
      <c r="D49" s="238">
        <f t="shared" si="0"/>
        <v>0</v>
      </c>
    </row>
    <row r="50" spans="1:4" ht="16">
      <c r="A50" s="138" t="s">
        <v>65</v>
      </c>
      <c r="B50" s="31">
        <f>SUM('1.tranše'!F48,'2.tranše'!F48,'3.tranše'!F48,'4.tranše'!F48, '5.tranše'!F48, '6.tranše'!F48, '7.tranše'!F48, '8.tranše'!F48,'9.tranše'!F50,'10.tranše'!F50,'11.tranše'!I50,'12.tranše'!F49,'Odměny repre 2017'!B43)</f>
        <v>247383.42173636076</v>
      </c>
      <c r="C50" s="31">
        <v>202200</v>
      </c>
      <c r="D50" s="221">
        <f t="shared" si="0"/>
        <v>45183.42173636076</v>
      </c>
    </row>
    <row r="51" spans="1:4" ht="16">
      <c r="A51" s="139" t="s">
        <v>53</v>
      </c>
      <c r="B51" s="31">
        <f>SUM('1.tranše'!F49,'2.tranše'!F49,'3.tranše'!F49,'4.tranše'!F49, '5.tranše'!F49, '6.tranše'!F49, '7.tranše'!F49, '8.tranše'!F49,'9.tranše'!F51,'10.tranše'!F51,'11.tranše'!I51,'12.tranše'!F50,'Odměny repre 2017'!B44)</f>
        <v>209149.00407507707</v>
      </c>
      <c r="C51" s="31">
        <v>157288</v>
      </c>
      <c r="D51" s="221">
        <f t="shared" si="0"/>
        <v>51861.004075077071</v>
      </c>
    </row>
    <row r="52" spans="1:4" ht="16">
      <c r="A52" s="138" t="s">
        <v>56</v>
      </c>
      <c r="B52" s="31">
        <f>SUM('1.tranše'!F50,'2.tranše'!F50,'3.tranše'!F50,'4.tranše'!F50, '5.tranše'!F50, '6.tranše'!F50, '7.tranše'!F50, '8.tranše'!F50,'9.tranše'!F52,'10.tranše'!F52,'11.tranše'!I52,'12.tranše'!F51,'Odměny repre 2017'!B45)</f>
        <v>189850.84616598187</v>
      </c>
      <c r="C52" s="31">
        <v>186268.22</v>
      </c>
      <c r="D52" s="221">
        <f t="shared" si="0"/>
        <v>3582.6261659818701</v>
      </c>
    </row>
    <row r="53" spans="1:4" ht="16">
      <c r="A53" s="240" t="s">
        <v>59</v>
      </c>
      <c r="B53" s="31">
        <f>SUM('1.tranše'!F51,'2.tranše'!F51,'3.tranše'!F51,'4.tranše'!F51, '5.tranše'!F51, '6.tranše'!F51, '7.tranše'!F51, '8.tranše'!F51,'9.tranše'!F53,'10.tranše'!F53,'12.tranše'!F52,'Odměny repre 2017'!B46)</f>
        <v>0</v>
      </c>
      <c r="C53" s="31">
        <v>0</v>
      </c>
      <c r="D53" s="238">
        <f t="shared" si="0"/>
        <v>0</v>
      </c>
    </row>
    <row r="54" spans="1:4" ht="16">
      <c r="A54" s="138" t="s">
        <v>140</v>
      </c>
      <c r="B54" s="31">
        <f>SUM('1.tranše'!F52,'2.tranše'!F52,'3.tranše'!F52,'4.tranše'!F52, '5.tranše'!F52, '6.tranše'!F52, '7.tranše'!F52, '8.tranše'!F52,'9.tranše'!F53,'10.tranše'!F54,'11.tranše'!I54,'12.tranše'!F53,'Odměny repre 2017'!B47)</f>
        <v>106492.19086197835</v>
      </c>
      <c r="C54" s="31">
        <v>66550</v>
      </c>
      <c r="D54" s="221">
        <f t="shared" si="0"/>
        <v>39942.19086197835</v>
      </c>
    </row>
    <row r="55" spans="1:4" ht="16">
      <c r="A55" s="124" t="s">
        <v>35</v>
      </c>
      <c r="B55" s="31">
        <f>SUM('1.tranše'!F53,'2.tranše'!F53,'3.tranše'!F53,'4.tranše'!F53, '5.tranše'!F53, '6.tranše'!F53, '7.tranše'!F53, '8.tranše'!F53,'9.tranše'!F55,'10.tranše'!F55,'11.tranše'!I55,'12.tranše'!F54,'Odměny repre 2017'!B48)</f>
        <v>172421.55240136752</v>
      </c>
      <c r="C55" s="31">
        <v>168520</v>
      </c>
      <c r="D55" s="221">
        <f t="shared" si="0"/>
        <v>3901.5524013675167</v>
      </c>
    </row>
    <row r="56" spans="1:4" ht="16">
      <c r="A56" s="134" t="s">
        <v>78</v>
      </c>
      <c r="B56" s="31">
        <f>SUM('1.tranše'!F54,'2.tranše'!F54,'3.tranše'!F54,'4.tranše'!F54, '5.tranše'!F54, '6.tranše'!F54, '7.tranše'!F54, '8.tranše'!F54,'9.tranše'!F56,'10.tranše'!F56,'11.tranše'!I56,'12.tranše'!F55,'Odměny repre 2017'!B49)</f>
        <v>188034.93595489694</v>
      </c>
      <c r="C56" s="31">
        <v>185878</v>
      </c>
      <c r="D56" s="221">
        <f t="shared" si="0"/>
        <v>2156.9359548969369</v>
      </c>
    </row>
    <row r="57" spans="1:4" ht="16">
      <c r="A57" s="138" t="s">
        <v>116</v>
      </c>
      <c r="B57" s="31">
        <f>SUM('1.tranše'!F55,'2.tranše'!F55,'3.tranše'!F55,'4.tranše'!F55, '5.tranše'!F55, '6.tranše'!F55, '7.tranše'!F55, '8.tranše'!F55,'9.tranše'!F57,'10.tranše'!F57,'11.tranše'!I57,'12.tranše'!F56,'Odměny repre 2017'!B50)</f>
        <v>39294.009927673935</v>
      </c>
      <c r="C57" s="31">
        <v>30250</v>
      </c>
      <c r="D57" s="221">
        <f t="shared" si="0"/>
        <v>9044.0099276739347</v>
      </c>
    </row>
    <row r="58" spans="1:4" ht="16">
      <c r="A58" s="240" t="s">
        <v>117</v>
      </c>
      <c r="B58" s="203">
        <f>SUM('6.tranše'!F56,'7.tranše'!F56, '8.tranše'!F56,'9.tranše'!F58,'10.tranše'!F58,'12.tranše'!F57,'Odměny repre 2017'!B51)</f>
        <v>32854.924236701765</v>
      </c>
      <c r="C58" s="204">
        <v>32855</v>
      </c>
      <c r="D58" s="239">
        <f t="shared" si="0"/>
        <v>-7.576329823496053E-2</v>
      </c>
    </row>
    <row r="59" spans="1:4" ht="17" thickBot="1">
      <c r="A59" s="245" t="s">
        <v>137</v>
      </c>
      <c r="B59" s="184">
        <f>SUM('8.tranše'!F57,'9.tranše'!F59,'10.tranše'!F59,'11.tranše'!I59,'12.tranše'!F58,'Odměny repre 2017'!B52)</f>
        <v>101280.64413681548</v>
      </c>
      <c r="C59" s="178">
        <v>101281</v>
      </c>
      <c r="D59" s="246">
        <f t="shared" si="0"/>
        <v>-0.35586318452260457</v>
      </c>
    </row>
    <row r="60" spans="1:4" ht="17" thickBot="1">
      <c r="A60" s="61"/>
      <c r="B60" s="57"/>
      <c r="C60" s="57"/>
      <c r="D60" s="91"/>
    </row>
    <row r="61" spans="1:4" ht="16">
      <c r="A61" s="54" t="s">
        <v>99</v>
      </c>
      <c r="B61" s="147">
        <f>SUM(B19:B59)</f>
        <v>11673248</v>
      </c>
      <c r="C61" s="24">
        <f>SUM(C19:C59)</f>
        <v>10536562.640000001</v>
      </c>
      <c r="D61" s="148">
        <f>SUM(D19:D59)</f>
        <v>1136685.3599999999</v>
      </c>
    </row>
    <row r="62" spans="1:4" ht="17" thickBot="1">
      <c r="A62" s="146" t="s">
        <v>87</v>
      </c>
      <c r="B62" s="149"/>
      <c r="C62" s="150">
        <f>B61-C61</f>
        <v>1136685.3599999994</v>
      </c>
      <c r="D62" s="151"/>
    </row>
    <row r="63" spans="1:4" ht="13.5" customHeight="1">
      <c r="B63" s="65"/>
      <c r="C63" s="65"/>
      <c r="D63" s="65"/>
    </row>
    <row r="64" spans="1:4">
      <c r="B64" s="68"/>
      <c r="C64" s="68"/>
      <c r="D64" s="68"/>
    </row>
  </sheetData>
  <autoFilter ref="A18:D18" xr:uid="{00000000-0009-0000-0000-000002000000}">
    <sortState ref="A17:H53">
      <sortCondition descending="1" ref="D16"/>
    </sortState>
  </autoFilter>
  <mergeCells count="2">
    <mergeCell ref="A1:D3"/>
    <mergeCell ref="B17:D17"/>
  </mergeCells>
  <pageMargins left="0.7" right="0.7" top="0.78740157499999996" bottom="0.78740157499999996" header="0.3" footer="0.3"/>
  <pageSetup paperSize="9" scale="60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21"/>
  <sheetViews>
    <sheetView workbookViewId="0">
      <selection activeCell="E8" sqref="E8"/>
    </sheetView>
  </sheetViews>
  <sheetFormatPr baseColWidth="10" defaultColWidth="8.83203125" defaultRowHeight="15"/>
  <cols>
    <col min="1" max="1" width="10.1640625" bestFit="1" customWidth="1"/>
    <col min="2" max="2" width="64.83203125" customWidth="1"/>
    <col min="3" max="3" width="14" bestFit="1" customWidth="1"/>
    <col min="5" max="5" width="10.1640625" bestFit="1" customWidth="1"/>
  </cols>
  <sheetData>
    <row r="1" spans="1:5">
      <c r="B1" s="187" t="s">
        <v>127</v>
      </c>
    </row>
    <row r="3" spans="1:5">
      <c r="A3" s="185">
        <v>42352</v>
      </c>
      <c r="B3" t="s">
        <v>128</v>
      </c>
      <c r="C3" s="186">
        <v>230270</v>
      </c>
    </row>
    <row r="4" spans="1:5">
      <c r="A4" s="185">
        <v>42542</v>
      </c>
      <c r="B4" t="s">
        <v>153</v>
      </c>
      <c r="C4" s="186">
        <v>400000</v>
      </c>
      <c r="E4" s="185">
        <v>42542</v>
      </c>
    </row>
    <row r="5" spans="1:5">
      <c r="A5" s="185">
        <v>42663</v>
      </c>
      <c r="B5" t="s">
        <v>182</v>
      </c>
      <c r="C5" s="186">
        <v>157494</v>
      </c>
      <c r="E5" s="185">
        <v>42663</v>
      </c>
    </row>
    <row r="6" spans="1:5">
      <c r="A6" s="185">
        <v>42663</v>
      </c>
      <c r="B6" t="s">
        <v>181</v>
      </c>
      <c r="C6" s="186">
        <v>46000</v>
      </c>
      <c r="E6" s="185">
        <v>42663</v>
      </c>
    </row>
    <row r="7" spans="1:5">
      <c r="A7" s="244">
        <v>43069</v>
      </c>
      <c r="B7" s="218" t="s">
        <v>201</v>
      </c>
      <c r="C7" s="219">
        <v>277248</v>
      </c>
      <c r="D7" s="218"/>
      <c r="E7" s="185">
        <v>43069</v>
      </c>
    </row>
    <row r="8" spans="1:5">
      <c r="B8" t="s">
        <v>155</v>
      </c>
      <c r="C8" s="186">
        <f>SUM(C3:C7)</f>
        <v>1111012</v>
      </c>
    </row>
    <row r="9" spans="1:5">
      <c r="C9" s="186"/>
    </row>
    <row r="10" spans="1:5">
      <c r="C10" s="186"/>
    </row>
    <row r="11" spans="1:5">
      <c r="C11" s="186"/>
    </row>
    <row r="12" spans="1:5">
      <c r="C12" s="186"/>
    </row>
    <row r="13" spans="1:5">
      <c r="C13" s="186"/>
    </row>
    <row r="14" spans="1:5">
      <c r="C14" s="186"/>
    </row>
    <row r="15" spans="1:5">
      <c r="C15" s="186"/>
    </row>
    <row r="16" spans="1:5">
      <c r="C16" s="186"/>
    </row>
    <row r="17" spans="3:3">
      <c r="C17" s="186"/>
    </row>
    <row r="18" spans="3:3">
      <c r="C18" s="186"/>
    </row>
    <row r="19" spans="3:3">
      <c r="C19" s="186"/>
    </row>
    <row r="20" spans="3:3">
      <c r="C20" s="186"/>
    </row>
    <row r="21" spans="3:3">
      <c r="C21" s="186"/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60"/>
  <sheetViews>
    <sheetView zoomScale="80" zoomScaleNormal="80" workbookViewId="0">
      <selection activeCell="A52" sqref="A52"/>
    </sheetView>
  </sheetViews>
  <sheetFormatPr baseColWidth="10" defaultColWidth="8.83203125" defaultRowHeight="15"/>
  <cols>
    <col min="1" max="1" width="45.5" customWidth="1"/>
    <col min="2" max="2" width="21.6640625" style="2" customWidth="1"/>
    <col min="3" max="3" width="10.33203125" style="2" customWidth="1"/>
    <col min="4" max="4" width="15" customWidth="1"/>
    <col min="5" max="5" width="18.83203125" customWidth="1"/>
    <col min="6" max="6" width="13.83203125" bestFit="1" customWidth="1"/>
    <col min="7" max="7" width="8.5" style="94" bestFit="1" customWidth="1"/>
    <col min="8" max="8" width="10.33203125" customWidth="1"/>
  </cols>
  <sheetData>
    <row r="1" spans="1:7" ht="18.75" customHeight="1">
      <c r="A1" s="266" t="s">
        <v>104</v>
      </c>
      <c r="B1" s="266"/>
      <c r="C1" s="266"/>
      <c r="D1" s="266"/>
      <c r="E1" s="266"/>
      <c r="F1" s="266"/>
    </row>
    <row r="2" spans="1:7" ht="18.75" customHeight="1">
      <c r="A2" s="266"/>
      <c r="B2" s="266"/>
      <c r="C2" s="266"/>
      <c r="D2" s="266"/>
      <c r="E2" s="266"/>
      <c r="F2" s="266"/>
    </row>
    <row r="3" spans="1:7" ht="18.75" customHeight="1">
      <c r="A3" s="266"/>
      <c r="B3" s="266"/>
      <c r="C3" s="266"/>
      <c r="D3" s="266"/>
      <c r="E3" s="266"/>
      <c r="F3" s="266"/>
    </row>
    <row r="4" spans="1:7" ht="16">
      <c r="A4" s="3" t="s">
        <v>70</v>
      </c>
    </row>
    <row r="5" spans="1:7" ht="16">
      <c r="A5" s="4" t="s">
        <v>71</v>
      </c>
    </row>
    <row r="6" spans="1:7" ht="16.5" customHeight="1">
      <c r="A6" s="5"/>
    </row>
    <row r="7" spans="1:7">
      <c r="A7" s="5"/>
    </row>
    <row r="8" spans="1:7" ht="105.75" customHeight="1" thickBot="1">
      <c r="A8" s="126" t="s">
        <v>79</v>
      </c>
    </row>
    <row r="9" spans="1:7" ht="17" thickBot="1">
      <c r="B9" s="267" t="s">
        <v>54</v>
      </c>
      <c r="C9" s="268"/>
      <c r="D9" s="268"/>
      <c r="E9" s="268"/>
      <c r="F9" s="269"/>
    </row>
    <row r="10" spans="1:7" ht="30" customHeight="1" thickBot="1">
      <c r="B10" s="101" t="s">
        <v>84</v>
      </c>
      <c r="C10" s="105"/>
      <c r="D10" s="105"/>
      <c r="E10" s="106"/>
      <c r="F10" s="93">
        <v>972000</v>
      </c>
    </row>
    <row r="11" spans="1:7" ht="16.5" customHeight="1">
      <c r="A11" s="99"/>
      <c r="B11" s="99"/>
      <c r="C11" s="99"/>
      <c r="D11" s="100"/>
    </row>
    <row r="12" spans="1:7" ht="16.5" customHeight="1">
      <c r="A12" s="99"/>
      <c r="B12" s="99"/>
      <c r="C12" s="99"/>
      <c r="D12" s="100"/>
    </row>
    <row r="13" spans="1:7" s="11" customFormat="1" ht="16.5" customHeight="1" thickBot="1">
      <c r="A13" s="9"/>
      <c r="B13" s="10"/>
      <c r="C13" s="10"/>
      <c r="E13" s="12"/>
      <c r="F13" s="13"/>
      <c r="G13" s="95"/>
    </row>
    <row r="14" spans="1:7" s="9" customFormat="1" ht="65.25" customHeight="1" thickBot="1">
      <c r="B14" s="142" t="s">
        <v>81</v>
      </c>
      <c r="C14" s="110" t="s">
        <v>68</v>
      </c>
      <c r="D14" s="261" t="s">
        <v>55</v>
      </c>
      <c r="E14" s="262"/>
      <c r="F14" s="263"/>
      <c r="G14" s="96"/>
    </row>
    <row r="15" spans="1:7" s="20" customFormat="1" ht="17" thickBot="1">
      <c r="B15" s="107"/>
      <c r="C15" s="110"/>
      <c r="D15" s="17">
        <v>0.66</v>
      </c>
      <c r="E15" s="18">
        <f>1-D15</f>
        <v>0.33999999999999997</v>
      </c>
      <c r="F15" s="108"/>
      <c r="G15" s="97"/>
    </row>
    <row r="16" spans="1:7" s="20" customFormat="1" ht="17" thickBot="1">
      <c r="A16" s="112" t="s">
        <v>66</v>
      </c>
      <c r="B16" s="107">
        <v>2014</v>
      </c>
      <c r="C16" s="110"/>
      <c r="D16" s="17" t="s">
        <v>4</v>
      </c>
      <c r="E16" s="18" t="s">
        <v>5</v>
      </c>
      <c r="F16" s="108" t="s">
        <v>6</v>
      </c>
      <c r="G16" s="113" t="s">
        <v>67</v>
      </c>
    </row>
    <row r="17" spans="1:7" ht="16">
      <c r="A17" s="135" t="s">
        <v>7</v>
      </c>
      <c r="B17" s="133">
        <v>150</v>
      </c>
      <c r="C17" s="118">
        <v>1</v>
      </c>
      <c r="D17" s="111">
        <f t="shared" ref="D17:D54" si="0">$F$10*$D$15/$C$56*C17</f>
        <v>18329.142857142859</v>
      </c>
      <c r="E17" s="31">
        <f t="shared" ref="E17:E54" si="1">$F$10*$E$15*B17/$B$56</f>
        <v>25552.577319587625</v>
      </c>
      <c r="F17" s="102">
        <f t="shared" ref="F17:F54" si="2">(D17+E17)</f>
        <v>43881.72017673048</v>
      </c>
      <c r="G17" s="121">
        <f>F17/$F$56</f>
        <v>4.514580265095728E-2</v>
      </c>
    </row>
    <row r="18" spans="1:7" ht="16.5" customHeight="1">
      <c r="A18" s="134" t="s">
        <v>11</v>
      </c>
      <c r="B18" s="130">
        <v>109</v>
      </c>
      <c r="C18" s="116">
        <v>1</v>
      </c>
      <c r="D18" s="111">
        <f t="shared" si="0"/>
        <v>18329.142857142859</v>
      </c>
      <c r="E18" s="31">
        <f t="shared" si="1"/>
        <v>18568.206185567007</v>
      </c>
      <c r="F18" s="102">
        <f t="shared" si="2"/>
        <v>36897.349042709866</v>
      </c>
      <c r="G18" s="121">
        <f>F18/$F$56</f>
        <v>3.7960235640648009E-2</v>
      </c>
    </row>
    <row r="19" spans="1:7" ht="16">
      <c r="A19" s="136" t="s">
        <v>12</v>
      </c>
      <c r="B19" s="130">
        <v>121</v>
      </c>
      <c r="C19" s="116">
        <v>1</v>
      </c>
      <c r="D19" s="111">
        <f t="shared" si="0"/>
        <v>18329.142857142859</v>
      </c>
      <c r="E19" s="31">
        <f t="shared" si="1"/>
        <v>20612.412371134018</v>
      </c>
      <c r="F19" s="102">
        <f t="shared" si="2"/>
        <v>38941.555228276877</v>
      </c>
      <c r="G19" s="121">
        <f>F19/$F$56</f>
        <v>4.0063328424153159E-2</v>
      </c>
    </row>
    <row r="20" spans="1:7" ht="16">
      <c r="A20" s="136" t="s">
        <v>57</v>
      </c>
      <c r="B20" s="130">
        <v>129</v>
      </c>
      <c r="C20" s="116">
        <v>1</v>
      </c>
      <c r="D20" s="111">
        <f t="shared" si="0"/>
        <v>18329.142857142859</v>
      </c>
      <c r="E20" s="31">
        <f t="shared" si="1"/>
        <v>21975.216494845357</v>
      </c>
      <c r="F20" s="102">
        <f t="shared" si="2"/>
        <v>40304.359351988212</v>
      </c>
      <c r="G20" s="121">
        <f>F20/$F$56</f>
        <v>4.146539027982326E-2</v>
      </c>
    </row>
    <row r="21" spans="1:7" ht="16">
      <c r="A21" s="134" t="s">
        <v>8</v>
      </c>
      <c r="B21" s="130">
        <v>85</v>
      </c>
      <c r="C21" s="116">
        <v>1</v>
      </c>
      <c r="D21" s="111">
        <f t="shared" si="0"/>
        <v>18329.142857142859</v>
      </c>
      <c r="E21" s="31">
        <f t="shared" si="1"/>
        <v>14479.793814432987</v>
      </c>
      <c r="F21" s="102">
        <f t="shared" si="2"/>
        <v>32808.936671575844</v>
      </c>
      <c r="G21" s="121">
        <f>F21/$F$56</f>
        <v>3.3754050073637694E-2</v>
      </c>
    </row>
    <row r="22" spans="1:7" ht="16.5" customHeight="1">
      <c r="A22" s="134" t="s">
        <v>69</v>
      </c>
      <c r="B22" s="130">
        <v>87</v>
      </c>
      <c r="C22" s="116">
        <v>1</v>
      </c>
      <c r="D22" s="111">
        <f t="shared" si="0"/>
        <v>18329.142857142859</v>
      </c>
      <c r="E22" s="31">
        <f t="shared" si="1"/>
        <v>14820.494845360823</v>
      </c>
      <c r="F22" s="102">
        <f t="shared" si="2"/>
        <v>33149.637702503678</v>
      </c>
      <c r="G22" s="121">
        <f t="shared" ref="G22" si="3">F22/$F$56</f>
        <v>3.4104565537555219E-2</v>
      </c>
    </row>
    <row r="23" spans="1:7" ht="16.5" customHeight="1">
      <c r="A23" s="134" t="s">
        <v>13</v>
      </c>
      <c r="B23" s="130">
        <v>62</v>
      </c>
      <c r="C23" s="116">
        <v>1</v>
      </c>
      <c r="D23" s="111">
        <f t="shared" si="0"/>
        <v>18329.142857142859</v>
      </c>
      <c r="E23" s="31">
        <f t="shared" si="1"/>
        <v>10561.731958762884</v>
      </c>
      <c r="F23" s="102">
        <f t="shared" si="2"/>
        <v>28890.874815905743</v>
      </c>
      <c r="G23" s="121">
        <f t="shared" ref="G23:G54" si="4">F23/$F$56</f>
        <v>2.9723122238586152E-2</v>
      </c>
    </row>
    <row r="24" spans="1:7" ht="16">
      <c r="A24" s="134" t="s">
        <v>60</v>
      </c>
      <c r="B24" s="130">
        <v>42</v>
      </c>
      <c r="C24" s="116">
        <v>1</v>
      </c>
      <c r="D24" s="111">
        <f t="shared" si="0"/>
        <v>18329.142857142859</v>
      </c>
      <c r="E24" s="31">
        <f t="shared" si="1"/>
        <v>7154.7216494845352</v>
      </c>
      <c r="F24" s="102">
        <f t="shared" si="2"/>
        <v>25483.864506627393</v>
      </c>
      <c r="G24" s="121">
        <f t="shared" si="4"/>
        <v>2.6217967599410894E-2</v>
      </c>
    </row>
    <row r="25" spans="1:7" ht="16">
      <c r="A25" s="136" t="s">
        <v>10</v>
      </c>
      <c r="B25" s="130">
        <v>112</v>
      </c>
      <c r="C25" s="116">
        <v>1</v>
      </c>
      <c r="D25" s="111">
        <f t="shared" si="0"/>
        <v>18329.142857142859</v>
      </c>
      <c r="E25" s="31">
        <f t="shared" si="1"/>
        <v>19079.257731958758</v>
      </c>
      <c r="F25" s="102">
        <f t="shared" si="2"/>
        <v>37408.400589101613</v>
      </c>
      <c r="G25" s="121">
        <f t="shared" si="4"/>
        <v>3.8486008836524289E-2</v>
      </c>
    </row>
    <row r="26" spans="1:7" ht="16">
      <c r="A26" s="134" t="s">
        <v>21</v>
      </c>
      <c r="B26" s="130">
        <v>44</v>
      </c>
      <c r="C26" s="116">
        <v>1</v>
      </c>
      <c r="D26" s="111">
        <f t="shared" si="0"/>
        <v>18329.142857142859</v>
      </c>
      <c r="E26" s="31">
        <f t="shared" si="1"/>
        <v>7495.42268041237</v>
      </c>
      <c r="F26" s="102">
        <f t="shared" si="2"/>
        <v>25824.565537555231</v>
      </c>
      <c r="G26" s="121">
        <f t="shared" si="4"/>
        <v>2.6568483063328423E-2</v>
      </c>
    </row>
    <row r="27" spans="1:7" ht="16">
      <c r="A27" s="134" t="s">
        <v>28</v>
      </c>
      <c r="B27" s="130">
        <v>38</v>
      </c>
      <c r="C27" s="116">
        <v>1</v>
      </c>
      <c r="D27" s="111">
        <f t="shared" si="0"/>
        <v>18329.142857142859</v>
      </c>
      <c r="E27" s="31">
        <f t="shared" si="1"/>
        <v>6473.3195876288646</v>
      </c>
      <c r="F27" s="102">
        <f t="shared" si="2"/>
        <v>24802.462444771721</v>
      </c>
      <c r="G27" s="121">
        <f t="shared" si="4"/>
        <v>2.5516936671575841E-2</v>
      </c>
    </row>
    <row r="28" spans="1:7" ht="16">
      <c r="A28" s="136" t="s">
        <v>61</v>
      </c>
      <c r="B28" s="130">
        <v>63</v>
      </c>
      <c r="C28" s="116">
        <v>1</v>
      </c>
      <c r="D28" s="111">
        <f t="shared" si="0"/>
        <v>18329.142857142859</v>
      </c>
      <c r="E28" s="31">
        <f t="shared" si="1"/>
        <v>10732.082474226801</v>
      </c>
      <c r="F28" s="102">
        <f t="shared" si="2"/>
        <v>29061.22533136966</v>
      </c>
      <c r="G28" s="121">
        <f t="shared" si="4"/>
        <v>2.9898379970544915E-2</v>
      </c>
    </row>
    <row r="29" spans="1:7" ht="16">
      <c r="A29" s="136" t="s">
        <v>24</v>
      </c>
      <c r="B29" s="130">
        <v>104</v>
      </c>
      <c r="C29" s="116">
        <v>1</v>
      </c>
      <c r="D29" s="111">
        <f t="shared" si="0"/>
        <v>18329.142857142859</v>
      </c>
      <c r="E29" s="31">
        <f t="shared" si="1"/>
        <v>17716.453608247419</v>
      </c>
      <c r="F29" s="102">
        <f t="shared" si="2"/>
        <v>36045.596465390277</v>
      </c>
      <c r="G29" s="121">
        <f t="shared" si="4"/>
        <v>3.7083946980854189E-2</v>
      </c>
    </row>
    <row r="30" spans="1:7" ht="16">
      <c r="A30" s="134" t="s">
        <v>20</v>
      </c>
      <c r="B30" s="130">
        <v>62</v>
      </c>
      <c r="C30" s="116">
        <v>1</v>
      </c>
      <c r="D30" s="111">
        <f t="shared" si="0"/>
        <v>18329.142857142859</v>
      </c>
      <c r="E30" s="31">
        <f t="shared" si="1"/>
        <v>10561.731958762884</v>
      </c>
      <c r="F30" s="102">
        <f t="shared" si="2"/>
        <v>28890.874815905743</v>
      </c>
      <c r="G30" s="121">
        <f t="shared" si="4"/>
        <v>2.9723122238586152E-2</v>
      </c>
    </row>
    <row r="31" spans="1:7" ht="16">
      <c r="A31" s="134" t="s">
        <v>25</v>
      </c>
      <c r="B31" s="130">
        <v>49</v>
      </c>
      <c r="C31" s="116">
        <v>1</v>
      </c>
      <c r="D31" s="111">
        <f t="shared" si="0"/>
        <v>18329.142857142859</v>
      </c>
      <c r="E31" s="31">
        <f t="shared" si="1"/>
        <v>8347.1752577319567</v>
      </c>
      <c r="F31" s="102">
        <f t="shared" si="2"/>
        <v>26676.318114874815</v>
      </c>
      <c r="G31" s="121">
        <f t="shared" si="4"/>
        <v>2.7444771723122235E-2</v>
      </c>
    </row>
    <row r="32" spans="1:7" ht="16">
      <c r="A32" s="136" t="s">
        <v>74</v>
      </c>
      <c r="B32" s="130">
        <v>66</v>
      </c>
      <c r="C32" s="116">
        <v>1</v>
      </c>
      <c r="D32" s="111">
        <f t="shared" si="0"/>
        <v>18329.142857142859</v>
      </c>
      <c r="E32" s="31">
        <f t="shared" si="1"/>
        <v>11243.134020618554</v>
      </c>
      <c r="F32" s="102">
        <f t="shared" si="2"/>
        <v>29572.276877761411</v>
      </c>
      <c r="G32" s="121">
        <f t="shared" si="4"/>
        <v>3.0424153166421202E-2</v>
      </c>
    </row>
    <row r="33" spans="1:7" ht="16">
      <c r="A33" s="134" t="s">
        <v>73</v>
      </c>
      <c r="B33" s="130">
        <v>52</v>
      </c>
      <c r="C33" s="116">
        <v>1</v>
      </c>
      <c r="D33" s="111">
        <f t="shared" si="0"/>
        <v>18329.142857142859</v>
      </c>
      <c r="E33" s="31">
        <f t="shared" si="1"/>
        <v>8858.2268041237094</v>
      </c>
      <c r="F33" s="102">
        <f t="shared" si="2"/>
        <v>27187.369661266566</v>
      </c>
      <c r="G33" s="121">
        <f t="shared" si="4"/>
        <v>2.7970544918998523E-2</v>
      </c>
    </row>
    <row r="34" spans="1:7" ht="16">
      <c r="A34" s="134" t="s">
        <v>23</v>
      </c>
      <c r="B34" s="130">
        <v>41</v>
      </c>
      <c r="C34" s="116">
        <v>1</v>
      </c>
      <c r="D34" s="111">
        <f t="shared" si="0"/>
        <v>18329.142857142859</v>
      </c>
      <c r="E34" s="31">
        <f t="shared" si="1"/>
        <v>6984.3711340206173</v>
      </c>
      <c r="F34" s="102">
        <f t="shared" si="2"/>
        <v>25313.513991163476</v>
      </c>
      <c r="G34" s="121">
        <f t="shared" si="4"/>
        <v>2.6042709867452132E-2</v>
      </c>
    </row>
    <row r="35" spans="1:7" ht="16">
      <c r="A35" s="137" t="s">
        <v>27</v>
      </c>
      <c r="B35" s="130">
        <v>46</v>
      </c>
      <c r="C35" s="116">
        <v>1</v>
      </c>
      <c r="D35" s="111">
        <f t="shared" si="0"/>
        <v>18329.142857142859</v>
      </c>
      <c r="E35" s="31">
        <f t="shared" si="1"/>
        <v>7836.1237113402049</v>
      </c>
      <c r="F35" s="102">
        <f t="shared" si="2"/>
        <v>26165.266568483064</v>
      </c>
      <c r="G35" s="121">
        <f t="shared" si="4"/>
        <v>2.6918998527245948E-2</v>
      </c>
    </row>
    <row r="36" spans="1:7" ht="16">
      <c r="A36" s="134" t="s">
        <v>33</v>
      </c>
      <c r="B36" s="130">
        <v>81</v>
      </c>
      <c r="C36" s="116">
        <v>1</v>
      </c>
      <c r="D36" s="111">
        <f t="shared" si="0"/>
        <v>18329.142857142859</v>
      </c>
      <c r="E36" s="31">
        <f t="shared" si="1"/>
        <v>13798.391752577318</v>
      </c>
      <c r="F36" s="103">
        <f t="shared" si="2"/>
        <v>32127.534609720176</v>
      </c>
      <c r="G36" s="121">
        <f t="shared" si="4"/>
        <v>3.3053019145802644E-2</v>
      </c>
    </row>
    <row r="37" spans="1:7" ht="16">
      <c r="A37" s="134" t="s">
        <v>64</v>
      </c>
      <c r="B37" s="130">
        <v>100</v>
      </c>
      <c r="C37" s="116">
        <v>1</v>
      </c>
      <c r="D37" s="111">
        <f t="shared" si="0"/>
        <v>18329.142857142859</v>
      </c>
      <c r="E37" s="31">
        <f t="shared" si="1"/>
        <v>17035.051546391747</v>
      </c>
      <c r="F37" s="102">
        <f t="shared" si="2"/>
        <v>35364.19440353461</v>
      </c>
      <c r="G37" s="121">
        <f t="shared" si="4"/>
        <v>3.6382916053019139E-2</v>
      </c>
    </row>
    <row r="38" spans="1:7" ht="16">
      <c r="A38" s="134" t="s">
        <v>16</v>
      </c>
      <c r="B38" s="130">
        <v>53</v>
      </c>
      <c r="C38" s="116">
        <v>1</v>
      </c>
      <c r="D38" s="111">
        <f t="shared" si="0"/>
        <v>18329.142857142859</v>
      </c>
      <c r="E38" s="31">
        <f t="shared" si="1"/>
        <v>9028.5773195876263</v>
      </c>
      <c r="F38" s="102">
        <f t="shared" si="2"/>
        <v>27357.720176730487</v>
      </c>
      <c r="G38" s="121">
        <f t="shared" si="4"/>
        <v>2.8145802650957289E-2</v>
      </c>
    </row>
    <row r="39" spans="1:7" ht="16">
      <c r="A39" s="134" t="s">
        <v>63</v>
      </c>
      <c r="B39" s="130">
        <v>43</v>
      </c>
      <c r="C39" s="116">
        <v>1</v>
      </c>
      <c r="D39" s="111">
        <f t="shared" si="0"/>
        <v>18329.142857142859</v>
      </c>
      <c r="E39" s="31">
        <f t="shared" si="1"/>
        <v>7325.0721649484531</v>
      </c>
      <c r="F39" s="102">
        <f t="shared" si="2"/>
        <v>25654.21502209131</v>
      </c>
      <c r="G39" s="121">
        <f t="shared" si="4"/>
        <v>2.6393225331369657E-2</v>
      </c>
    </row>
    <row r="40" spans="1:7" ht="16">
      <c r="A40" s="134" t="s">
        <v>19</v>
      </c>
      <c r="B40" s="130">
        <v>44</v>
      </c>
      <c r="C40" s="116">
        <v>1</v>
      </c>
      <c r="D40" s="111">
        <f t="shared" si="0"/>
        <v>18329.142857142859</v>
      </c>
      <c r="E40" s="31">
        <f t="shared" si="1"/>
        <v>7495.42268041237</v>
      </c>
      <c r="F40" s="102">
        <f t="shared" si="2"/>
        <v>25824.565537555231</v>
      </c>
      <c r="G40" s="121">
        <f t="shared" si="4"/>
        <v>2.6568483063328423E-2</v>
      </c>
    </row>
    <row r="41" spans="1:7" ht="16">
      <c r="A41" s="134" t="s">
        <v>29</v>
      </c>
      <c r="B41" s="131">
        <v>35</v>
      </c>
      <c r="C41" s="117">
        <v>1</v>
      </c>
      <c r="D41" s="111">
        <f t="shared" si="0"/>
        <v>18329.142857142859</v>
      </c>
      <c r="E41" s="31">
        <f t="shared" si="1"/>
        <v>5962.2680412371128</v>
      </c>
      <c r="F41" s="102">
        <f t="shared" si="2"/>
        <v>24291.410898379971</v>
      </c>
      <c r="G41" s="121">
        <f t="shared" si="4"/>
        <v>2.4991163475699556E-2</v>
      </c>
    </row>
    <row r="42" spans="1:7" ht="16">
      <c r="A42" s="138" t="s">
        <v>62</v>
      </c>
      <c r="B42" s="132">
        <v>17</v>
      </c>
      <c r="C42" s="118">
        <v>1</v>
      </c>
      <c r="D42" s="111">
        <f t="shared" si="0"/>
        <v>18329.142857142859</v>
      </c>
      <c r="E42" s="31">
        <f t="shared" si="1"/>
        <v>2895.9587628865975</v>
      </c>
      <c r="F42" s="102">
        <f t="shared" si="2"/>
        <v>21225.101620029454</v>
      </c>
      <c r="G42" s="121">
        <f t="shared" si="4"/>
        <v>2.1836524300441824E-2</v>
      </c>
    </row>
    <row r="43" spans="1:7" ht="16">
      <c r="A43" s="138" t="s">
        <v>32</v>
      </c>
      <c r="B43" s="132">
        <v>30</v>
      </c>
      <c r="C43" s="118">
        <v>1</v>
      </c>
      <c r="D43" s="111">
        <f t="shared" si="0"/>
        <v>18329.142857142859</v>
      </c>
      <c r="E43" s="31">
        <f t="shared" si="1"/>
        <v>5110.5154639175253</v>
      </c>
      <c r="F43" s="104">
        <f t="shared" si="2"/>
        <v>23439.658321060386</v>
      </c>
      <c r="G43" s="121">
        <f t="shared" si="4"/>
        <v>2.4114874815905744E-2</v>
      </c>
    </row>
    <row r="44" spans="1:7" ht="16">
      <c r="A44" s="134" t="s">
        <v>58</v>
      </c>
      <c r="B44" s="131">
        <v>23</v>
      </c>
      <c r="C44" s="117">
        <v>1</v>
      </c>
      <c r="D44" s="111">
        <f t="shared" si="0"/>
        <v>18329.142857142859</v>
      </c>
      <c r="E44" s="31">
        <f t="shared" si="1"/>
        <v>3918.0618556701024</v>
      </c>
      <c r="F44" s="102">
        <f t="shared" si="2"/>
        <v>22247.20471281296</v>
      </c>
      <c r="G44" s="121">
        <f t="shared" si="4"/>
        <v>2.2888070692194399E-2</v>
      </c>
    </row>
    <row r="45" spans="1:7" ht="16">
      <c r="A45" s="134" t="s">
        <v>75</v>
      </c>
      <c r="B45" s="131">
        <v>15</v>
      </c>
      <c r="C45" s="117">
        <v>1</v>
      </c>
      <c r="D45" s="111">
        <f t="shared" si="0"/>
        <v>18329.142857142859</v>
      </c>
      <c r="E45" s="31">
        <f t="shared" si="1"/>
        <v>2555.2577319587626</v>
      </c>
      <c r="F45" s="102">
        <f t="shared" si="2"/>
        <v>20884.40058910162</v>
      </c>
      <c r="G45" s="121">
        <f t="shared" si="4"/>
        <v>2.1486008836524299E-2</v>
      </c>
    </row>
    <row r="46" spans="1:7" ht="16">
      <c r="A46" s="138" t="s">
        <v>76</v>
      </c>
      <c r="B46" s="129">
        <v>1</v>
      </c>
      <c r="C46" s="115">
        <v>1</v>
      </c>
      <c r="D46" s="111">
        <f t="shared" si="0"/>
        <v>18329.142857142859</v>
      </c>
      <c r="E46" s="31">
        <f t="shared" si="1"/>
        <v>170.3505154639175</v>
      </c>
      <c r="F46" s="102">
        <f t="shared" si="2"/>
        <v>18499.493372606776</v>
      </c>
      <c r="G46" s="121">
        <f t="shared" si="4"/>
        <v>1.903240058910162E-2</v>
      </c>
    </row>
    <row r="47" spans="1:7" ht="16">
      <c r="A47" s="134" t="s">
        <v>77</v>
      </c>
      <c r="B47" s="132">
        <v>0</v>
      </c>
      <c r="C47" s="115">
        <v>0</v>
      </c>
      <c r="D47" s="111">
        <f t="shared" si="0"/>
        <v>0</v>
      </c>
      <c r="E47" s="31">
        <f t="shared" si="1"/>
        <v>0</v>
      </c>
      <c r="F47" s="102">
        <f t="shared" si="2"/>
        <v>0</v>
      </c>
      <c r="G47" s="121">
        <f t="shared" si="4"/>
        <v>0</v>
      </c>
    </row>
    <row r="48" spans="1:7" ht="16">
      <c r="A48" s="138" t="s">
        <v>65</v>
      </c>
      <c r="B48" s="129">
        <v>12</v>
      </c>
      <c r="C48" s="115">
        <v>1</v>
      </c>
      <c r="D48" s="111">
        <f t="shared" si="0"/>
        <v>18329.142857142859</v>
      </c>
      <c r="E48" s="31">
        <f t="shared" si="1"/>
        <v>2044.2061855670099</v>
      </c>
      <c r="F48" s="102">
        <f t="shared" si="2"/>
        <v>20373.34904270987</v>
      </c>
      <c r="G48" s="121">
        <f t="shared" si="4"/>
        <v>2.0960235640648011E-2</v>
      </c>
    </row>
    <row r="49" spans="1:7" ht="16">
      <c r="A49" s="139" t="s">
        <v>53</v>
      </c>
      <c r="B49" s="129">
        <v>12</v>
      </c>
      <c r="C49" s="115">
        <v>1</v>
      </c>
      <c r="D49" s="111">
        <f t="shared" si="0"/>
        <v>18329.142857142859</v>
      </c>
      <c r="E49" s="31">
        <f t="shared" si="1"/>
        <v>2044.2061855670099</v>
      </c>
      <c r="F49" s="102">
        <f t="shared" si="2"/>
        <v>20373.34904270987</v>
      </c>
      <c r="G49" s="121">
        <f t="shared" si="4"/>
        <v>2.0960235640648011E-2</v>
      </c>
    </row>
    <row r="50" spans="1:7" ht="16">
      <c r="A50" s="138" t="s">
        <v>56</v>
      </c>
      <c r="B50" s="129">
        <v>5</v>
      </c>
      <c r="C50" s="115">
        <v>1</v>
      </c>
      <c r="D50" s="111">
        <f t="shared" si="0"/>
        <v>18329.142857142859</v>
      </c>
      <c r="E50" s="31">
        <f t="shared" si="1"/>
        <v>851.75257731958754</v>
      </c>
      <c r="F50" s="102">
        <f t="shared" si="2"/>
        <v>19180.895434462447</v>
      </c>
      <c r="G50" s="121">
        <f t="shared" si="4"/>
        <v>1.9733431516936673E-2</v>
      </c>
    </row>
    <row r="51" spans="1:7" ht="16">
      <c r="A51" s="134" t="s">
        <v>59</v>
      </c>
      <c r="B51" s="132">
        <v>0</v>
      </c>
      <c r="C51" s="118">
        <v>0</v>
      </c>
      <c r="D51" s="111">
        <f t="shared" si="0"/>
        <v>0</v>
      </c>
      <c r="E51" s="31">
        <f t="shared" si="1"/>
        <v>0</v>
      </c>
      <c r="F51" s="102">
        <f t="shared" si="2"/>
        <v>0</v>
      </c>
      <c r="G51" s="121">
        <f t="shared" si="4"/>
        <v>0</v>
      </c>
    </row>
    <row r="52" spans="1:7" ht="16">
      <c r="A52" s="138" t="s">
        <v>140</v>
      </c>
      <c r="B52" s="132">
        <v>0</v>
      </c>
      <c r="C52" s="118">
        <v>0</v>
      </c>
      <c r="D52" s="111">
        <f t="shared" si="0"/>
        <v>0</v>
      </c>
      <c r="E52" s="31">
        <f t="shared" si="1"/>
        <v>0</v>
      </c>
      <c r="F52" s="102">
        <f t="shared" si="2"/>
        <v>0</v>
      </c>
      <c r="G52" s="121">
        <f t="shared" si="4"/>
        <v>0</v>
      </c>
    </row>
    <row r="53" spans="1:7" ht="16">
      <c r="A53" s="124" t="s">
        <v>35</v>
      </c>
      <c r="B53" s="131">
        <v>3</v>
      </c>
      <c r="C53" s="117">
        <v>1</v>
      </c>
      <c r="D53" s="111">
        <f t="shared" si="0"/>
        <v>18329.142857142859</v>
      </c>
      <c r="E53" s="31">
        <f t="shared" si="1"/>
        <v>511.05154639175248</v>
      </c>
      <c r="F53" s="102">
        <f t="shared" si="2"/>
        <v>18840.19440353461</v>
      </c>
      <c r="G53" s="121">
        <f t="shared" si="4"/>
        <v>1.9382916053019145E-2</v>
      </c>
    </row>
    <row r="54" spans="1:7" ht="17" thickBot="1">
      <c r="A54" s="140" t="s">
        <v>78</v>
      </c>
      <c r="B54" s="141">
        <v>4</v>
      </c>
      <c r="C54" s="125">
        <v>1</v>
      </c>
      <c r="D54" s="122">
        <f t="shared" si="0"/>
        <v>18329.142857142859</v>
      </c>
      <c r="E54" s="50">
        <f t="shared" si="1"/>
        <v>681.40206185567001</v>
      </c>
      <c r="F54" s="114">
        <f t="shared" si="2"/>
        <v>19010.54491899853</v>
      </c>
      <c r="G54" s="123">
        <f t="shared" si="4"/>
        <v>1.9558173784977911E-2</v>
      </c>
    </row>
    <row r="55" spans="1:7" ht="17" thickBot="1">
      <c r="A55" s="61"/>
      <c r="B55" s="127"/>
      <c r="C55" s="60"/>
      <c r="D55" s="57"/>
      <c r="E55" s="57"/>
      <c r="F55" s="91"/>
    </row>
    <row r="56" spans="1:7" ht="17" thickBot="1">
      <c r="A56" s="54" t="s">
        <v>36</v>
      </c>
      <c r="B56" s="128">
        <f t="shared" ref="B56:G56" si="5">SUM(B17:B54)</f>
        <v>1940</v>
      </c>
      <c r="C56" s="119">
        <f t="shared" si="5"/>
        <v>35</v>
      </c>
      <c r="D56" s="31">
        <f t="shared" si="5"/>
        <v>641519.99999999977</v>
      </c>
      <c r="E56" s="31">
        <f t="shared" si="5"/>
        <v>330479.99999999988</v>
      </c>
      <c r="F56" s="120">
        <f t="shared" si="5"/>
        <v>972000.00000000012</v>
      </c>
      <c r="G56" s="98">
        <f t="shared" si="5"/>
        <v>0.99999999999999989</v>
      </c>
    </row>
    <row r="57" spans="1:7" ht="16">
      <c r="A57" s="59"/>
      <c r="B57" s="60"/>
      <c r="C57" s="60"/>
      <c r="D57" s="31">
        <f>F10*D15</f>
        <v>641520</v>
      </c>
      <c r="E57" s="31">
        <f>F10*E15</f>
        <v>330479.99999999994</v>
      </c>
      <c r="F57" s="31"/>
      <c r="G57"/>
    </row>
    <row r="58" spans="1:7" ht="16">
      <c r="A58" s="61"/>
      <c r="B58" s="92"/>
      <c r="C58" s="92"/>
      <c r="D58" s="63"/>
      <c r="E58" s="109">
        <f>E56+D56</f>
        <v>971999.99999999965</v>
      </c>
      <c r="F58" s="63"/>
      <c r="G58"/>
    </row>
    <row r="59" spans="1:7" ht="13.5" customHeight="1">
      <c r="D59" s="65"/>
      <c r="E59" s="65"/>
      <c r="F59" s="65"/>
      <c r="G59"/>
    </row>
    <row r="60" spans="1:7">
      <c r="D60" s="68"/>
      <c r="E60" s="68"/>
      <c r="F60" s="68"/>
      <c r="G60"/>
    </row>
  </sheetData>
  <autoFilter ref="A16:G16" xr:uid="{00000000-0009-0000-0000-000004000000}">
    <sortState ref="A17:G53">
      <sortCondition descending="1" ref="F16"/>
    </sortState>
  </autoFilter>
  <mergeCells count="3">
    <mergeCell ref="A1:F3"/>
    <mergeCell ref="D14:F14"/>
    <mergeCell ref="B9:F9"/>
  </mergeCells>
  <pageMargins left="0.7" right="0.7" top="0.78740157499999996" bottom="0.78740157499999996" header="0.3" footer="0.3"/>
  <pageSetup paperSize="9" scale="60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60"/>
  <sheetViews>
    <sheetView zoomScale="80" zoomScaleNormal="80" workbookViewId="0">
      <selection activeCell="G13" sqref="G13"/>
    </sheetView>
  </sheetViews>
  <sheetFormatPr baseColWidth="10" defaultColWidth="8.83203125" defaultRowHeight="15"/>
  <cols>
    <col min="1" max="1" width="45.5" customWidth="1"/>
    <col min="2" max="2" width="21.6640625" style="2" customWidth="1"/>
    <col min="3" max="3" width="10.33203125" style="2" customWidth="1"/>
    <col min="4" max="4" width="15" customWidth="1"/>
    <col min="5" max="5" width="18.83203125" customWidth="1"/>
    <col min="6" max="6" width="13.83203125" bestFit="1" customWidth="1"/>
    <col min="7" max="7" width="8.5" style="94" bestFit="1" customWidth="1"/>
    <col min="8" max="8" width="10.33203125" customWidth="1"/>
  </cols>
  <sheetData>
    <row r="1" spans="1:7" ht="18.75" customHeight="1">
      <c r="A1" s="266" t="s">
        <v>105</v>
      </c>
      <c r="B1" s="266"/>
      <c r="C1" s="266"/>
      <c r="D1" s="266"/>
      <c r="E1" s="266"/>
      <c r="F1" s="266"/>
    </row>
    <row r="2" spans="1:7" ht="18.75" customHeight="1">
      <c r="A2" s="266"/>
      <c r="B2" s="266"/>
      <c r="C2" s="266"/>
      <c r="D2" s="266"/>
      <c r="E2" s="266"/>
      <c r="F2" s="266"/>
    </row>
    <row r="3" spans="1:7" ht="18.75" customHeight="1">
      <c r="A3" s="266"/>
      <c r="B3" s="266"/>
      <c r="C3" s="266"/>
      <c r="D3" s="266"/>
      <c r="E3" s="266"/>
      <c r="F3" s="266"/>
    </row>
    <row r="4" spans="1:7" ht="16">
      <c r="A4" s="3" t="s">
        <v>80</v>
      </c>
    </row>
    <row r="5" spans="1:7" ht="16">
      <c r="A5" s="4" t="s">
        <v>71</v>
      </c>
    </row>
    <row r="6" spans="1:7" ht="16.5" customHeight="1">
      <c r="A6" s="5"/>
    </row>
    <row r="7" spans="1:7">
      <c r="A7" s="5"/>
    </row>
    <row r="8" spans="1:7" ht="105.75" customHeight="1" thickBot="1">
      <c r="A8" s="126" t="s">
        <v>79</v>
      </c>
    </row>
    <row r="9" spans="1:7" ht="17" thickBot="1">
      <c r="B9" s="267" t="s">
        <v>54</v>
      </c>
      <c r="C9" s="268"/>
      <c r="D9" s="268"/>
      <c r="E9" s="268"/>
      <c r="F9" s="269"/>
    </row>
    <row r="10" spans="1:7" ht="17" thickBot="1">
      <c r="B10" s="101" t="s">
        <v>84</v>
      </c>
      <c r="C10" s="105"/>
      <c r="D10" s="105"/>
      <c r="E10" s="106"/>
      <c r="F10" s="93">
        <v>901000</v>
      </c>
    </row>
    <row r="11" spans="1:7" ht="16.5" customHeight="1">
      <c r="A11" s="99"/>
      <c r="B11" s="99"/>
      <c r="C11" s="99"/>
      <c r="D11" s="100"/>
    </row>
    <row r="12" spans="1:7" ht="16.5" customHeight="1">
      <c r="A12" s="99"/>
      <c r="B12" s="99"/>
      <c r="C12" s="99"/>
      <c r="D12" s="100"/>
    </row>
    <row r="13" spans="1:7" s="11" customFormat="1" ht="16.5" customHeight="1" thickBot="1">
      <c r="A13" s="9"/>
      <c r="B13" s="10"/>
      <c r="C13" s="10"/>
      <c r="E13" s="12"/>
      <c r="F13" s="13"/>
      <c r="G13" s="95"/>
    </row>
    <row r="14" spans="1:7" s="9" customFormat="1" ht="65.25" customHeight="1" thickBot="1">
      <c r="B14" s="142" t="s">
        <v>81</v>
      </c>
      <c r="C14" s="142" t="s">
        <v>68</v>
      </c>
      <c r="D14" s="261" t="s">
        <v>82</v>
      </c>
      <c r="E14" s="262"/>
      <c r="F14" s="263"/>
      <c r="G14" s="96"/>
    </row>
    <row r="15" spans="1:7" s="20" customFormat="1" ht="17" thickBot="1">
      <c r="B15" s="107"/>
      <c r="C15" s="142"/>
      <c r="D15" s="17">
        <v>0.66</v>
      </c>
      <c r="E15" s="18">
        <f>1-D15</f>
        <v>0.33999999999999997</v>
      </c>
      <c r="F15" s="108"/>
      <c r="G15" s="97"/>
    </row>
    <row r="16" spans="1:7" s="20" customFormat="1" ht="17" thickBot="1">
      <c r="A16" s="112" t="s">
        <v>66</v>
      </c>
      <c r="B16" s="107">
        <v>2014</v>
      </c>
      <c r="C16" s="142"/>
      <c r="D16" s="17" t="s">
        <v>4</v>
      </c>
      <c r="E16" s="18" t="s">
        <v>5</v>
      </c>
      <c r="F16" s="108" t="s">
        <v>6</v>
      </c>
      <c r="G16" s="113" t="s">
        <v>67</v>
      </c>
    </row>
    <row r="17" spans="1:7" ht="16">
      <c r="A17" s="135" t="s">
        <v>7</v>
      </c>
      <c r="B17" s="133">
        <v>150</v>
      </c>
      <c r="C17" s="118">
        <v>1</v>
      </c>
      <c r="D17" s="111">
        <f t="shared" ref="D17:D54" si="0">$F$10*$D$15/$C$56*C17</f>
        <v>16990.285714285714</v>
      </c>
      <c r="E17" s="31">
        <f t="shared" ref="E17:E54" si="1">$F$10*$E$15*B17/$B$56</f>
        <v>23686.082474226805</v>
      </c>
      <c r="F17" s="102">
        <f t="shared" ref="F17:F54" si="2">(D17+E17)</f>
        <v>40676.368188512519</v>
      </c>
      <c r="G17" s="121">
        <f>F17/$F$56</f>
        <v>4.5145802650957294E-2</v>
      </c>
    </row>
    <row r="18" spans="1:7" ht="16.5" customHeight="1">
      <c r="A18" s="134" t="s">
        <v>11</v>
      </c>
      <c r="B18" s="130">
        <v>109</v>
      </c>
      <c r="C18" s="116">
        <v>1</v>
      </c>
      <c r="D18" s="111">
        <f t="shared" si="0"/>
        <v>16990.285714285714</v>
      </c>
      <c r="E18" s="31">
        <f t="shared" si="1"/>
        <v>17211.886597938144</v>
      </c>
      <c r="F18" s="102">
        <f t="shared" si="2"/>
        <v>34202.172312223862</v>
      </c>
      <c r="G18" s="121">
        <f>F18/$F$56</f>
        <v>3.7960235640648023E-2</v>
      </c>
    </row>
    <row r="19" spans="1:7" ht="16">
      <c r="A19" s="136" t="s">
        <v>12</v>
      </c>
      <c r="B19" s="130">
        <v>121</v>
      </c>
      <c r="C19" s="116">
        <v>1</v>
      </c>
      <c r="D19" s="111">
        <f t="shared" si="0"/>
        <v>16990.285714285714</v>
      </c>
      <c r="E19" s="31">
        <f t="shared" si="1"/>
        <v>19106.773195876289</v>
      </c>
      <c r="F19" s="102">
        <f t="shared" si="2"/>
        <v>36097.058910161999</v>
      </c>
      <c r="G19" s="121">
        <f>F19/$F$56</f>
        <v>4.0063328424153166E-2</v>
      </c>
    </row>
    <row r="20" spans="1:7" ht="16">
      <c r="A20" s="136" t="s">
        <v>57</v>
      </c>
      <c r="B20" s="130">
        <v>129</v>
      </c>
      <c r="C20" s="116">
        <v>1</v>
      </c>
      <c r="D20" s="111">
        <f t="shared" si="0"/>
        <v>16990.285714285714</v>
      </c>
      <c r="E20" s="31">
        <f t="shared" si="1"/>
        <v>20370.030927835051</v>
      </c>
      <c r="F20" s="102">
        <f t="shared" si="2"/>
        <v>37360.316642120764</v>
      </c>
      <c r="G20" s="121">
        <f>F20/$F$56</f>
        <v>4.1465390279823273E-2</v>
      </c>
    </row>
    <row r="21" spans="1:7" ht="16">
      <c r="A21" s="134" t="s">
        <v>8</v>
      </c>
      <c r="B21" s="130">
        <v>85</v>
      </c>
      <c r="C21" s="116">
        <v>1</v>
      </c>
      <c r="D21" s="111">
        <f t="shared" si="0"/>
        <v>16990.285714285714</v>
      </c>
      <c r="E21" s="31">
        <f t="shared" si="1"/>
        <v>13422.113402061856</v>
      </c>
      <c r="F21" s="102">
        <f t="shared" si="2"/>
        <v>30412.399116347569</v>
      </c>
      <c r="G21" s="121">
        <f>F21/$F$56</f>
        <v>3.3754050073637708E-2</v>
      </c>
    </row>
    <row r="22" spans="1:7" ht="16.5" customHeight="1">
      <c r="A22" s="134" t="s">
        <v>69</v>
      </c>
      <c r="B22" s="130">
        <v>87</v>
      </c>
      <c r="C22" s="116">
        <v>1</v>
      </c>
      <c r="D22" s="111">
        <f t="shared" si="0"/>
        <v>16990.285714285714</v>
      </c>
      <c r="E22" s="31">
        <f t="shared" si="1"/>
        <v>13737.927835051547</v>
      </c>
      <c r="F22" s="102">
        <f t="shared" si="2"/>
        <v>30728.213549337263</v>
      </c>
      <c r="G22" s="121">
        <f t="shared" ref="G22:G54" si="3">F22/$F$56</f>
        <v>3.4104565537555233E-2</v>
      </c>
    </row>
    <row r="23" spans="1:7" ht="16.5" customHeight="1">
      <c r="A23" s="134" t="s">
        <v>13</v>
      </c>
      <c r="B23" s="130">
        <v>62</v>
      </c>
      <c r="C23" s="116">
        <v>1</v>
      </c>
      <c r="D23" s="111">
        <f t="shared" si="0"/>
        <v>16990.285714285714</v>
      </c>
      <c r="E23" s="31">
        <f t="shared" si="1"/>
        <v>9790.2474226804115</v>
      </c>
      <c r="F23" s="102">
        <f t="shared" si="2"/>
        <v>26780.533136966125</v>
      </c>
      <c r="G23" s="121">
        <f t="shared" si="3"/>
        <v>2.9723122238586159E-2</v>
      </c>
    </row>
    <row r="24" spans="1:7" ht="16">
      <c r="A24" s="134" t="s">
        <v>60</v>
      </c>
      <c r="B24" s="130">
        <v>42</v>
      </c>
      <c r="C24" s="116">
        <v>1</v>
      </c>
      <c r="D24" s="111">
        <f t="shared" si="0"/>
        <v>16990.285714285714</v>
      </c>
      <c r="E24" s="31">
        <f t="shared" si="1"/>
        <v>6632.1030927835054</v>
      </c>
      <c r="F24" s="102">
        <f t="shared" si="2"/>
        <v>23622.388807069219</v>
      </c>
      <c r="G24" s="121">
        <f t="shared" si="3"/>
        <v>2.6217967599410901E-2</v>
      </c>
    </row>
    <row r="25" spans="1:7" ht="16">
      <c r="A25" s="136" t="s">
        <v>10</v>
      </c>
      <c r="B25" s="130">
        <v>112</v>
      </c>
      <c r="C25" s="116">
        <v>1</v>
      </c>
      <c r="D25" s="111">
        <f t="shared" si="0"/>
        <v>16990.285714285714</v>
      </c>
      <c r="E25" s="31">
        <f t="shared" si="1"/>
        <v>17685.608247422679</v>
      </c>
      <c r="F25" s="102">
        <f t="shared" si="2"/>
        <v>34675.893961708396</v>
      </c>
      <c r="G25" s="121">
        <f t="shared" si="3"/>
        <v>3.848600883652431E-2</v>
      </c>
    </row>
    <row r="26" spans="1:7" ht="16">
      <c r="A26" s="134" t="s">
        <v>21</v>
      </c>
      <c r="B26" s="130">
        <v>44</v>
      </c>
      <c r="C26" s="116">
        <v>1</v>
      </c>
      <c r="D26" s="111">
        <f t="shared" si="0"/>
        <v>16990.285714285714</v>
      </c>
      <c r="E26" s="31">
        <f t="shared" si="1"/>
        <v>6947.9175257731958</v>
      </c>
      <c r="F26" s="102">
        <f t="shared" si="2"/>
        <v>23938.203240058909</v>
      </c>
      <c r="G26" s="121">
        <f t="shared" si="3"/>
        <v>2.6568483063328426E-2</v>
      </c>
    </row>
    <row r="27" spans="1:7" ht="16">
      <c r="A27" s="134" t="s">
        <v>28</v>
      </c>
      <c r="B27" s="130">
        <v>38</v>
      </c>
      <c r="C27" s="116">
        <v>1</v>
      </c>
      <c r="D27" s="111">
        <f t="shared" si="0"/>
        <v>16990.285714285714</v>
      </c>
      <c r="E27" s="31">
        <f t="shared" si="1"/>
        <v>6000.4742268041236</v>
      </c>
      <c r="F27" s="102">
        <f t="shared" si="2"/>
        <v>22990.759941089837</v>
      </c>
      <c r="G27" s="121">
        <f t="shared" si="3"/>
        <v>2.5516936671575847E-2</v>
      </c>
    </row>
    <row r="28" spans="1:7" ht="16">
      <c r="A28" s="136" t="s">
        <v>61</v>
      </c>
      <c r="B28" s="130">
        <v>63</v>
      </c>
      <c r="C28" s="116">
        <v>1</v>
      </c>
      <c r="D28" s="111">
        <f t="shared" si="0"/>
        <v>16990.285714285714</v>
      </c>
      <c r="E28" s="31">
        <f t="shared" si="1"/>
        <v>9948.1546391752581</v>
      </c>
      <c r="F28" s="102">
        <f t="shared" si="2"/>
        <v>26938.440353460974</v>
      </c>
      <c r="G28" s="121">
        <f t="shared" si="3"/>
        <v>2.9898379970544925E-2</v>
      </c>
    </row>
    <row r="29" spans="1:7" ht="16">
      <c r="A29" s="136" t="s">
        <v>24</v>
      </c>
      <c r="B29" s="130">
        <v>104</v>
      </c>
      <c r="C29" s="116">
        <v>1</v>
      </c>
      <c r="D29" s="111">
        <f t="shared" si="0"/>
        <v>16990.285714285714</v>
      </c>
      <c r="E29" s="31">
        <f t="shared" si="1"/>
        <v>16422.350515463917</v>
      </c>
      <c r="F29" s="102">
        <f t="shared" si="2"/>
        <v>33412.636229749631</v>
      </c>
      <c r="G29" s="121">
        <f t="shared" si="3"/>
        <v>3.7083946980854203E-2</v>
      </c>
    </row>
    <row r="30" spans="1:7" ht="16">
      <c r="A30" s="134" t="s">
        <v>20</v>
      </c>
      <c r="B30" s="130">
        <v>62</v>
      </c>
      <c r="C30" s="116">
        <v>1</v>
      </c>
      <c r="D30" s="111">
        <f t="shared" si="0"/>
        <v>16990.285714285714</v>
      </c>
      <c r="E30" s="31">
        <f t="shared" si="1"/>
        <v>9790.2474226804115</v>
      </c>
      <c r="F30" s="102">
        <f t="shared" si="2"/>
        <v>26780.533136966125</v>
      </c>
      <c r="G30" s="121">
        <f t="shared" si="3"/>
        <v>2.9723122238586159E-2</v>
      </c>
    </row>
    <row r="31" spans="1:7" ht="16">
      <c r="A31" s="134" t="s">
        <v>25</v>
      </c>
      <c r="B31" s="130">
        <v>49</v>
      </c>
      <c r="C31" s="116">
        <v>1</v>
      </c>
      <c r="D31" s="111">
        <f t="shared" si="0"/>
        <v>16990.285714285714</v>
      </c>
      <c r="E31" s="31">
        <f t="shared" si="1"/>
        <v>7737.4536082474224</v>
      </c>
      <c r="F31" s="102">
        <f t="shared" si="2"/>
        <v>24727.739322533136</v>
      </c>
      <c r="G31" s="121">
        <f t="shared" si="3"/>
        <v>2.7444771723122242E-2</v>
      </c>
    </row>
    <row r="32" spans="1:7" ht="16">
      <c r="A32" s="136" t="s">
        <v>74</v>
      </c>
      <c r="B32" s="130">
        <v>66</v>
      </c>
      <c r="C32" s="116">
        <v>1</v>
      </c>
      <c r="D32" s="111">
        <f t="shared" si="0"/>
        <v>16990.285714285714</v>
      </c>
      <c r="E32" s="31">
        <f t="shared" si="1"/>
        <v>10421.876288659794</v>
      </c>
      <c r="F32" s="102">
        <f t="shared" si="2"/>
        <v>27412.162002945508</v>
      </c>
      <c r="G32" s="121">
        <f t="shared" si="3"/>
        <v>3.0424153166421213E-2</v>
      </c>
    </row>
    <row r="33" spans="1:7" ht="16">
      <c r="A33" s="134" t="s">
        <v>73</v>
      </c>
      <c r="B33" s="130">
        <v>52</v>
      </c>
      <c r="C33" s="116">
        <v>1</v>
      </c>
      <c r="D33" s="111">
        <f t="shared" si="0"/>
        <v>16990.285714285714</v>
      </c>
      <c r="E33" s="31">
        <f t="shared" si="1"/>
        <v>8211.1752577319585</v>
      </c>
      <c r="F33" s="102">
        <f t="shared" si="2"/>
        <v>25201.460972017674</v>
      </c>
      <c r="G33" s="121">
        <f t="shared" si="3"/>
        <v>2.7970544918998533E-2</v>
      </c>
    </row>
    <row r="34" spans="1:7" ht="16">
      <c r="A34" s="134" t="s">
        <v>23</v>
      </c>
      <c r="B34" s="130">
        <v>41</v>
      </c>
      <c r="C34" s="116">
        <v>1</v>
      </c>
      <c r="D34" s="111">
        <f t="shared" si="0"/>
        <v>16990.285714285714</v>
      </c>
      <c r="E34" s="31">
        <f t="shared" si="1"/>
        <v>6474.1958762886597</v>
      </c>
      <c r="F34" s="102">
        <f t="shared" si="2"/>
        <v>23464.481590574374</v>
      </c>
      <c r="G34" s="121">
        <f t="shared" si="3"/>
        <v>2.6042709867452139E-2</v>
      </c>
    </row>
    <row r="35" spans="1:7" ht="16">
      <c r="A35" s="137" t="s">
        <v>27</v>
      </c>
      <c r="B35" s="130">
        <v>46</v>
      </c>
      <c r="C35" s="116">
        <v>1</v>
      </c>
      <c r="D35" s="111">
        <f t="shared" si="0"/>
        <v>16990.285714285714</v>
      </c>
      <c r="E35" s="31">
        <f t="shared" si="1"/>
        <v>7263.7319587628863</v>
      </c>
      <c r="F35" s="102">
        <f t="shared" si="2"/>
        <v>24254.017673048598</v>
      </c>
      <c r="G35" s="121">
        <f t="shared" si="3"/>
        <v>2.6918998527245951E-2</v>
      </c>
    </row>
    <row r="36" spans="1:7" ht="16">
      <c r="A36" s="134" t="s">
        <v>33</v>
      </c>
      <c r="B36" s="130">
        <v>81</v>
      </c>
      <c r="C36" s="116">
        <v>1</v>
      </c>
      <c r="D36" s="111">
        <f t="shared" si="0"/>
        <v>16990.285714285714</v>
      </c>
      <c r="E36" s="31">
        <f t="shared" si="1"/>
        <v>12790.484536082475</v>
      </c>
      <c r="F36" s="103">
        <f t="shared" si="2"/>
        <v>29780.770250368187</v>
      </c>
      <c r="G36" s="121">
        <f t="shared" si="3"/>
        <v>3.3053019145802651E-2</v>
      </c>
    </row>
    <row r="37" spans="1:7" ht="16">
      <c r="A37" s="134" t="s">
        <v>64</v>
      </c>
      <c r="B37" s="130">
        <v>100</v>
      </c>
      <c r="C37" s="116">
        <v>1</v>
      </c>
      <c r="D37" s="111">
        <f t="shared" si="0"/>
        <v>16990.285714285714</v>
      </c>
      <c r="E37" s="31">
        <f t="shared" si="1"/>
        <v>15790.721649484536</v>
      </c>
      <c r="F37" s="102">
        <f t="shared" si="2"/>
        <v>32781.007363770252</v>
      </c>
      <c r="G37" s="121">
        <f t="shared" si="3"/>
        <v>3.6382916053019153E-2</v>
      </c>
    </row>
    <row r="38" spans="1:7" ht="16">
      <c r="A38" s="134" t="s">
        <v>16</v>
      </c>
      <c r="B38" s="130">
        <v>53</v>
      </c>
      <c r="C38" s="116">
        <v>1</v>
      </c>
      <c r="D38" s="111">
        <f t="shared" si="0"/>
        <v>16990.285714285714</v>
      </c>
      <c r="E38" s="31">
        <f t="shared" si="1"/>
        <v>8369.0824742268032</v>
      </c>
      <c r="F38" s="102">
        <f t="shared" si="2"/>
        <v>25359.368188512519</v>
      </c>
      <c r="G38" s="121">
        <f t="shared" si="3"/>
        <v>2.8145802650957293E-2</v>
      </c>
    </row>
    <row r="39" spans="1:7" ht="16">
      <c r="A39" s="134" t="s">
        <v>63</v>
      </c>
      <c r="B39" s="130">
        <v>43</v>
      </c>
      <c r="C39" s="116">
        <v>1</v>
      </c>
      <c r="D39" s="111">
        <f t="shared" si="0"/>
        <v>16990.285714285714</v>
      </c>
      <c r="E39" s="31">
        <f t="shared" si="1"/>
        <v>6790.0103092783502</v>
      </c>
      <c r="F39" s="102">
        <f t="shared" si="2"/>
        <v>23780.296023564064</v>
      </c>
      <c r="G39" s="121">
        <f t="shared" si="3"/>
        <v>2.6393225331369664E-2</v>
      </c>
    </row>
    <row r="40" spans="1:7" ht="16">
      <c r="A40" s="134" t="s">
        <v>19</v>
      </c>
      <c r="B40" s="130">
        <v>44</v>
      </c>
      <c r="C40" s="116">
        <v>1</v>
      </c>
      <c r="D40" s="111">
        <f t="shared" si="0"/>
        <v>16990.285714285714</v>
      </c>
      <c r="E40" s="31">
        <f t="shared" si="1"/>
        <v>6947.9175257731958</v>
      </c>
      <c r="F40" s="102">
        <f t="shared" si="2"/>
        <v>23938.203240058909</v>
      </c>
      <c r="G40" s="121">
        <f t="shared" si="3"/>
        <v>2.6568483063328426E-2</v>
      </c>
    </row>
    <row r="41" spans="1:7" ht="16">
      <c r="A41" s="134" t="s">
        <v>29</v>
      </c>
      <c r="B41" s="131">
        <v>35</v>
      </c>
      <c r="C41" s="117">
        <v>1</v>
      </c>
      <c r="D41" s="111">
        <f t="shared" si="0"/>
        <v>16990.285714285714</v>
      </c>
      <c r="E41" s="31">
        <f t="shared" si="1"/>
        <v>5526.7525773195875</v>
      </c>
      <c r="F41" s="102">
        <f t="shared" si="2"/>
        <v>22517.038291605302</v>
      </c>
      <c r="G41" s="121">
        <f t="shared" si="3"/>
        <v>2.4991163475699563E-2</v>
      </c>
    </row>
    <row r="42" spans="1:7" ht="16">
      <c r="A42" s="138" t="s">
        <v>62</v>
      </c>
      <c r="B42" s="132">
        <v>17</v>
      </c>
      <c r="C42" s="118">
        <v>1</v>
      </c>
      <c r="D42" s="111">
        <f t="shared" si="0"/>
        <v>16990.285714285714</v>
      </c>
      <c r="E42" s="31">
        <f t="shared" si="1"/>
        <v>2684.4226804123709</v>
      </c>
      <c r="F42" s="102">
        <f t="shared" si="2"/>
        <v>19674.708394698086</v>
      </c>
      <c r="G42" s="121">
        <f t="shared" si="3"/>
        <v>2.1836524300441831E-2</v>
      </c>
    </row>
    <row r="43" spans="1:7" ht="16">
      <c r="A43" s="138" t="s">
        <v>32</v>
      </c>
      <c r="B43" s="132">
        <v>30</v>
      </c>
      <c r="C43" s="118">
        <v>1</v>
      </c>
      <c r="D43" s="111">
        <f t="shared" si="0"/>
        <v>16990.285714285714</v>
      </c>
      <c r="E43" s="31">
        <f t="shared" si="1"/>
        <v>4737.216494845361</v>
      </c>
      <c r="F43" s="104">
        <f t="shared" si="2"/>
        <v>21727.502209131075</v>
      </c>
      <c r="G43" s="121">
        <f t="shared" si="3"/>
        <v>2.4114874815905747E-2</v>
      </c>
    </row>
    <row r="44" spans="1:7" ht="16">
      <c r="A44" s="134" t="s">
        <v>58</v>
      </c>
      <c r="B44" s="131">
        <v>23</v>
      </c>
      <c r="C44" s="117">
        <v>1</v>
      </c>
      <c r="D44" s="111">
        <f t="shared" si="0"/>
        <v>16990.285714285714</v>
      </c>
      <c r="E44" s="31">
        <f t="shared" si="1"/>
        <v>3631.8659793814431</v>
      </c>
      <c r="F44" s="102">
        <f t="shared" si="2"/>
        <v>20622.151693667158</v>
      </c>
      <c r="G44" s="121">
        <f t="shared" si="3"/>
        <v>2.2888070692194406E-2</v>
      </c>
    </row>
    <row r="45" spans="1:7" ht="16">
      <c r="A45" s="134" t="s">
        <v>75</v>
      </c>
      <c r="B45" s="131">
        <v>15</v>
      </c>
      <c r="C45" s="117">
        <v>1</v>
      </c>
      <c r="D45" s="111">
        <f t="shared" si="0"/>
        <v>16990.285714285714</v>
      </c>
      <c r="E45" s="31">
        <f t="shared" si="1"/>
        <v>2368.6082474226805</v>
      </c>
      <c r="F45" s="102">
        <f t="shared" si="2"/>
        <v>19358.893961708396</v>
      </c>
      <c r="G45" s="121">
        <f t="shared" si="3"/>
        <v>2.1486008836524306E-2</v>
      </c>
    </row>
    <row r="46" spans="1:7" ht="16">
      <c r="A46" s="138" t="s">
        <v>76</v>
      </c>
      <c r="B46" s="129">
        <v>1</v>
      </c>
      <c r="C46" s="115">
        <v>1</v>
      </c>
      <c r="D46" s="111">
        <f t="shared" si="0"/>
        <v>16990.285714285714</v>
      </c>
      <c r="E46" s="31">
        <f t="shared" si="1"/>
        <v>157.90721649484536</v>
      </c>
      <c r="F46" s="102">
        <f t="shared" si="2"/>
        <v>17148.192930780559</v>
      </c>
      <c r="G46" s="121">
        <f t="shared" si="3"/>
        <v>1.903240058910162E-2</v>
      </c>
    </row>
    <row r="47" spans="1:7" ht="16">
      <c r="A47" s="134" t="s">
        <v>77</v>
      </c>
      <c r="B47" s="132">
        <v>0</v>
      </c>
      <c r="C47" s="115">
        <v>0</v>
      </c>
      <c r="D47" s="111">
        <f t="shared" si="0"/>
        <v>0</v>
      </c>
      <c r="E47" s="31">
        <f t="shared" si="1"/>
        <v>0</v>
      </c>
      <c r="F47" s="102">
        <f t="shared" si="2"/>
        <v>0</v>
      </c>
      <c r="G47" s="121">
        <f t="shared" si="3"/>
        <v>0</v>
      </c>
    </row>
    <row r="48" spans="1:7" ht="16">
      <c r="A48" s="138" t="s">
        <v>65</v>
      </c>
      <c r="B48" s="129">
        <v>12</v>
      </c>
      <c r="C48" s="115">
        <v>1</v>
      </c>
      <c r="D48" s="111">
        <f t="shared" si="0"/>
        <v>16990.285714285714</v>
      </c>
      <c r="E48" s="31">
        <f t="shared" si="1"/>
        <v>1894.8865979381444</v>
      </c>
      <c r="F48" s="102">
        <f t="shared" si="2"/>
        <v>18885.172312223858</v>
      </c>
      <c r="G48" s="121">
        <f t="shared" si="3"/>
        <v>2.0960235640648014E-2</v>
      </c>
    </row>
    <row r="49" spans="1:7" ht="16">
      <c r="A49" s="139" t="s">
        <v>53</v>
      </c>
      <c r="B49" s="129">
        <v>12</v>
      </c>
      <c r="C49" s="115">
        <v>1</v>
      </c>
      <c r="D49" s="111">
        <f t="shared" si="0"/>
        <v>16990.285714285714</v>
      </c>
      <c r="E49" s="31">
        <f t="shared" si="1"/>
        <v>1894.8865979381444</v>
      </c>
      <c r="F49" s="102">
        <f t="shared" si="2"/>
        <v>18885.172312223858</v>
      </c>
      <c r="G49" s="121">
        <f t="shared" si="3"/>
        <v>2.0960235640648014E-2</v>
      </c>
    </row>
    <row r="50" spans="1:7" ht="16">
      <c r="A50" s="138" t="s">
        <v>56</v>
      </c>
      <c r="B50" s="129">
        <v>5</v>
      </c>
      <c r="C50" s="115">
        <v>1</v>
      </c>
      <c r="D50" s="111">
        <f t="shared" si="0"/>
        <v>16990.285714285714</v>
      </c>
      <c r="E50" s="31">
        <f t="shared" si="1"/>
        <v>789.53608247422676</v>
      </c>
      <c r="F50" s="102">
        <f t="shared" si="2"/>
        <v>17779.821796759941</v>
      </c>
      <c r="G50" s="121">
        <f t="shared" si="3"/>
        <v>1.9733431516936673E-2</v>
      </c>
    </row>
    <row r="51" spans="1:7" ht="16">
      <c r="A51" s="134" t="s">
        <v>59</v>
      </c>
      <c r="B51" s="132">
        <v>0</v>
      </c>
      <c r="C51" s="118">
        <v>0</v>
      </c>
      <c r="D51" s="111">
        <f t="shared" si="0"/>
        <v>0</v>
      </c>
      <c r="E51" s="31">
        <f t="shared" si="1"/>
        <v>0</v>
      </c>
      <c r="F51" s="102">
        <f t="shared" si="2"/>
        <v>0</v>
      </c>
      <c r="G51" s="121">
        <f t="shared" si="3"/>
        <v>0</v>
      </c>
    </row>
    <row r="52" spans="1:7" ht="16">
      <c r="A52" s="138" t="s">
        <v>140</v>
      </c>
      <c r="B52" s="132">
        <v>0</v>
      </c>
      <c r="C52" s="118">
        <v>0</v>
      </c>
      <c r="D52" s="111">
        <f t="shared" si="0"/>
        <v>0</v>
      </c>
      <c r="E52" s="31">
        <f t="shared" si="1"/>
        <v>0</v>
      </c>
      <c r="F52" s="102">
        <f t="shared" si="2"/>
        <v>0</v>
      </c>
      <c r="G52" s="121">
        <f t="shared" si="3"/>
        <v>0</v>
      </c>
    </row>
    <row r="53" spans="1:7" ht="16">
      <c r="A53" s="124" t="s">
        <v>35</v>
      </c>
      <c r="B53" s="131">
        <v>3</v>
      </c>
      <c r="C53" s="117">
        <v>1</v>
      </c>
      <c r="D53" s="111">
        <f t="shared" si="0"/>
        <v>16990.285714285714</v>
      </c>
      <c r="E53" s="31">
        <f t="shared" si="1"/>
        <v>473.7216494845361</v>
      </c>
      <c r="F53" s="102">
        <f t="shared" si="2"/>
        <v>17464.007363770252</v>
      </c>
      <c r="G53" s="121">
        <f t="shared" si="3"/>
        <v>1.9382916053019148E-2</v>
      </c>
    </row>
    <row r="54" spans="1:7" ht="17" thickBot="1">
      <c r="A54" s="140" t="s">
        <v>78</v>
      </c>
      <c r="B54" s="141">
        <v>4</v>
      </c>
      <c r="C54" s="125">
        <v>1</v>
      </c>
      <c r="D54" s="122">
        <f t="shared" si="0"/>
        <v>16990.285714285714</v>
      </c>
      <c r="E54" s="50">
        <f t="shared" si="1"/>
        <v>631.62886597938143</v>
      </c>
      <c r="F54" s="114">
        <f t="shared" si="2"/>
        <v>17621.914580265096</v>
      </c>
      <c r="G54" s="123">
        <f t="shared" si="3"/>
        <v>1.9558173784977911E-2</v>
      </c>
    </row>
    <row r="55" spans="1:7" ht="17" thickBot="1">
      <c r="A55" s="61"/>
      <c r="B55" s="127"/>
      <c r="C55" s="60"/>
      <c r="D55" s="57"/>
      <c r="E55" s="57"/>
      <c r="F55" s="91"/>
    </row>
    <row r="56" spans="1:7" ht="17" thickBot="1">
      <c r="A56" s="54" t="s">
        <v>36</v>
      </c>
      <c r="B56" s="128">
        <f t="shared" ref="B56:G56" si="4">SUM(B17:B54)</f>
        <v>1940</v>
      </c>
      <c r="C56" s="119">
        <f t="shared" si="4"/>
        <v>35</v>
      </c>
      <c r="D56" s="31">
        <f t="shared" si="4"/>
        <v>594660.00000000023</v>
      </c>
      <c r="E56" s="31">
        <f t="shared" si="4"/>
        <v>306339.99999999983</v>
      </c>
      <c r="F56" s="120">
        <f t="shared" si="4"/>
        <v>900999.99999999988</v>
      </c>
      <c r="G56" s="98">
        <f t="shared" si="4"/>
        <v>1</v>
      </c>
    </row>
    <row r="57" spans="1:7" ht="16">
      <c r="A57" s="59"/>
      <c r="B57" s="60"/>
      <c r="C57" s="60"/>
      <c r="D57" s="31">
        <f>F10*D15</f>
        <v>594660</v>
      </c>
      <c r="E57" s="31">
        <f>F10*E15</f>
        <v>306340</v>
      </c>
      <c r="F57" s="31"/>
      <c r="G57"/>
    </row>
    <row r="58" spans="1:7" ht="16">
      <c r="A58" s="61"/>
      <c r="B58" s="92"/>
      <c r="C58" s="92"/>
      <c r="D58" s="63"/>
      <c r="E58" s="109">
        <f>E56+D56</f>
        <v>901000</v>
      </c>
      <c r="F58" s="63"/>
      <c r="G58"/>
    </row>
    <row r="59" spans="1:7" ht="13.5" customHeight="1">
      <c r="D59" s="65"/>
      <c r="E59" s="65"/>
      <c r="F59" s="65"/>
      <c r="G59"/>
    </row>
    <row r="60" spans="1:7">
      <c r="D60" s="68"/>
      <c r="E60" s="68"/>
      <c r="F60" s="68"/>
      <c r="G60"/>
    </row>
  </sheetData>
  <autoFilter ref="A16:G16" xr:uid="{00000000-0009-0000-0000-000005000000}">
    <sortState ref="A17:G53">
      <sortCondition descending="1" ref="F16"/>
    </sortState>
  </autoFilter>
  <mergeCells count="3">
    <mergeCell ref="A1:F3"/>
    <mergeCell ref="B9:F9"/>
    <mergeCell ref="D14:F14"/>
  </mergeCells>
  <pageMargins left="0.7" right="0.7" top="0.78740157499999996" bottom="0.78740157499999996" header="0.3" footer="0.3"/>
  <pageSetup paperSize="9" scale="60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60"/>
  <sheetViews>
    <sheetView zoomScale="80" zoomScaleNormal="80" workbookViewId="0">
      <selection activeCell="A52" sqref="A52"/>
    </sheetView>
  </sheetViews>
  <sheetFormatPr baseColWidth="10" defaultColWidth="8.83203125" defaultRowHeight="15"/>
  <cols>
    <col min="1" max="1" width="45.5" customWidth="1"/>
    <col min="2" max="2" width="21.6640625" style="2" customWidth="1"/>
    <col min="3" max="3" width="10.33203125" style="2" customWidth="1"/>
    <col min="4" max="4" width="15" customWidth="1"/>
    <col min="5" max="5" width="18.83203125" customWidth="1"/>
    <col min="6" max="6" width="13.83203125" bestFit="1" customWidth="1"/>
    <col min="7" max="7" width="8.5" style="94" bestFit="1" customWidth="1"/>
    <col min="8" max="8" width="10.33203125" customWidth="1"/>
  </cols>
  <sheetData>
    <row r="1" spans="1:7" ht="18.75" customHeight="1">
      <c r="A1" s="266" t="s">
        <v>106</v>
      </c>
      <c r="B1" s="266"/>
      <c r="C1" s="266"/>
      <c r="D1" s="266"/>
      <c r="E1" s="266"/>
      <c r="F1" s="266"/>
    </row>
    <row r="2" spans="1:7" ht="18.75" customHeight="1">
      <c r="A2" s="266"/>
      <c r="B2" s="266"/>
      <c r="C2" s="266"/>
      <c r="D2" s="266"/>
      <c r="E2" s="266"/>
      <c r="F2" s="266"/>
    </row>
    <row r="3" spans="1:7" ht="18.75" customHeight="1">
      <c r="A3" s="266"/>
      <c r="B3" s="266"/>
      <c r="C3" s="266"/>
      <c r="D3" s="266"/>
      <c r="E3" s="266"/>
      <c r="F3" s="266"/>
    </row>
    <row r="4" spans="1:7" ht="16">
      <c r="A4" s="3" t="s">
        <v>88</v>
      </c>
    </row>
    <row r="5" spans="1:7" ht="16">
      <c r="A5" s="4" t="s">
        <v>71</v>
      </c>
    </row>
    <row r="6" spans="1:7" ht="16.5" customHeight="1">
      <c r="A6" s="5"/>
    </row>
    <row r="7" spans="1:7">
      <c r="A7" s="5"/>
    </row>
    <row r="8" spans="1:7" ht="105.75" customHeight="1" thickBot="1">
      <c r="A8" s="126" t="s">
        <v>79</v>
      </c>
    </row>
    <row r="9" spans="1:7" ht="17" thickBot="1">
      <c r="B9" s="267" t="s">
        <v>54</v>
      </c>
      <c r="C9" s="268"/>
      <c r="D9" s="268"/>
      <c r="E9" s="268"/>
      <c r="F9" s="269"/>
    </row>
    <row r="10" spans="1:7" ht="17" thickBot="1">
      <c r="B10" s="101" t="s">
        <v>84</v>
      </c>
      <c r="C10" s="105"/>
      <c r="D10" s="105"/>
      <c r="E10" s="106"/>
      <c r="F10" s="93">
        <v>1249000</v>
      </c>
    </row>
    <row r="11" spans="1:7" ht="16.5" customHeight="1">
      <c r="A11" s="99"/>
      <c r="B11" s="99"/>
      <c r="C11" s="99"/>
      <c r="D11" s="100"/>
    </row>
    <row r="12" spans="1:7" ht="16.5" customHeight="1">
      <c r="A12" s="99"/>
      <c r="B12" s="99"/>
      <c r="C12" s="99"/>
      <c r="D12" s="100"/>
    </row>
    <row r="13" spans="1:7" s="11" customFormat="1" ht="16.5" customHeight="1" thickBot="1">
      <c r="A13" s="9"/>
      <c r="B13" s="10"/>
      <c r="C13" s="10"/>
      <c r="E13" s="12"/>
      <c r="F13" s="13"/>
      <c r="G13" s="95"/>
    </row>
    <row r="14" spans="1:7" s="9" customFormat="1" ht="65.25" customHeight="1" thickBot="1">
      <c r="B14" s="152" t="s">
        <v>91</v>
      </c>
      <c r="C14" s="152" t="s">
        <v>68</v>
      </c>
      <c r="D14" s="261" t="s">
        <v>89</v>
      </c>
      <c r="E14" s="262"/>
      <c r="F14" s="263"/>
      <c r="G14" s="96"/>
    </row>
    <row r="15" spans="1:7" s="20" customFormat="1" ht="17" thickBot="1">
      <c r="B15" s="107"/>
      <c r="C15" s="152"/>
      <c r="D15" s="17">
        <v>0.66</v>
      </c>
      <c r="E15" s="18">
        <f>1-D15</f>
        <v>0.33999999999999997</v>
      </c>
      <c r="F15" s="108"/>
      <c r="G15" s="97"/>
    </row>
    <row r="16" spans="1:7" s="20" customFormat="1" ht="17" thickBot="1">
      <c r="A16" s="112" t="s">
        <v>66</v>
      </c>
      <c r="B16" s="107">
        <v>2014</v>
      </c>
      <c r="C16" s="152"/>
      <c r="D16" s="17" t="s">
        <v>4</v>
      </c>
      <c r="E16" s="18" t="s">
        <v>5</v>
      </c>
      <c r="F16" s="108" t="s">
        <v>6</v>
      </c>
      <c r="G16" s="113" t="s">
        <v>67</v>
      </c>
    </row>
    <row r="17" spans="1:7" ht="16">
      <c r="A17" s="135" t="s">
        <v>7</v>
      </c>
      <c r="B17" s="154">
        <v>203</v>
      </c>
      <c r="C17" s="118">
        <v>1</v>
      </c>
      <c r="D17" s="111">
        <f t="shared" ref="D17:D54" si="0">$F$10*$D$15/$C$56*C17</f>
        <v>22898.333333333332</v>
      </c>
      <c r="E17" s="31">
        <f t="shared" ref="E17:E54" si="1">$F$10*$E$15*B17/$B$56</f>
        <v>47496.407713498615</v>
      </c>
      <c r="F17" s="102">
        <f t="shared" ref="F17:F54" si="2">(D17+E17)</f>
        <v>70394.741046831943</v>
      </c>
      <c r="G17" s="121">
        <f>F17/$F$56</f>
        <v>5.6360881542699713E-2</v>
      </c>
    </row>
    <row r="18" spans="1:7" ht="16.5" customHeight="1">
      <c r="A18" s="134" t="s">
        <v>11</v>
      </c>
      <c r="B18" s="155">
        <v>102</v>
      </c>
      <c r="C18" s="116">
        <v>1</v>
      </c>
      <c r="D18" s="111">
        <f t="shared" si="0"/>
        <v>22898.333333333332</v>
      </c>
      <c r="E18" s="31">
        <f t="shared" si="1"/>
        <v>23865.190082644625</v>
      </c>
      <c r="F18" s="102">
        <f t="shared" si="2"/>
        <v>46763.523415977957</v>
      </c>
      <c r="G18" s="121">
        <f>F18/$F$56</f>
        <v>3.7440771349862255E-2</v>
      </c>
    </row>
    <row r="19" spans="1:7" ht="16">
      <c r="A19" s="136" t="s">
        <v>12</v>
      </c>
      <c r="B19" s="155">
        <v>79</v>
      </c>
      <c r="C19" s="116">
        <v>1</v>
      </c>
      <c r="D19" s="111">
        <f t="shared" si="0"/>
        <v>22898.333333333332</v>
      </c>
      <c r="E19" s="31">
        <f t="shared" si="1"/>
        <v>18483.823691460053</v>
      </c>
      <c r="F19" s="102">
        <f t="shared" si="2"/>
        <v>41382.157024793385</v>
      </c>
      <c r="G19" s="121">
        <f>F19/$F$56</f>
        <v>3.3132231404958676E-2</v>
      </c>
    </row>
    <row r="20" spans="1:7" ht="16">
      <c r="A20" s="136" t="s">
        <v>57</v>
      </c>
      <c r="B20" s="155">
        <v>132</v>
      </c>
      <c r="C20" s="116">
        <v>1</v>
      </c>
      <c r="D20" s="111">
        <f t="shared" si="0"/>
        <v>22898.333333333332</v>
      </c>
      <c r="E20" s="31">
        <f t="shared" si="1"/>
        <v>30884.363636363632</v>
      </c>
      <c r="F20" s="102">
        <f t="shared" si="2"/>
        <v>53782.696969696961</v>
      </c>
      <c r="G20" s="121">
        <f>F20/$F$56</f>
        <v>4.3060606060606056E-2</v>
      </c>
    </row>
    <row r="21" spans="1:7" ht="16">
      <c r="A21" s="134" t="s">
        <v>8</v>
      </c>
      <c r="B21" s="155">
        <v>85</v>
      </c>
      <c r="C21" s="116">
        <v>1</v>
      </c>
      <c r="D21" s="111">
        <f t="shared" si="0"/>
        <v>22898.333333333332</v>
      </c>
      <c r="E21" s="31">
        <f t="shared" si="1"/>
        <v>19887.658402203851</v>
      </c>
      <c r="F21" s="102">
        <f t="shared" si="2"/>
        <v>42785.991735537187</v>
      </c>
      <c r="G21" s="121">
        <f>F21/$F$56</f>
        <v>3.4256198347107435E-2</v>
      </c>
    </row>
    <row r="22" spans="1:7" ht="16.5" customHeight="1">
      <c r="A22" s="134" t="s">
        <v>69</v>
      </c>
      <c r="B22" s="155">
        <v>87</v>
      </c>
      <c r="C22" s="116">
        <v>1</v>
      </c>
      <c r="D22" s="111">
        <f t="shared" si="0"/>
        <v>22898.333333333332</v>
      </c>
      <c r="E22" s="31">
        <f t="shared" si="1"/>
        <v>20355.60330578512</v>
      </c>
      <c r="F22" s="102">
        <f t="shared" si="2"/>
        <v>43253.936639118452</v>
      </c>
      <c r="G22" s="121">
        <f t="shared" ref="G22:G54" si="3">F22/$F$56</f>
        <v>3.4630853994490354E-2</v>
      </c>
    </row>
    <row r="23" spans="1:7" ht="16.5" customHeight="1">
      <c r="A23" s="134" t="s">
        <v>13</v>
      </c>
      <c r="B23" s="155">
        <v>55</v>
      </c>
      <c r="C23" s="116">
        <v>1</v>
      </c>
      <c r="D23" s="111">
        <f t="shared" si="0"/>
        <v>22898.333333333332</v>
      </c>
      <c r="E23" s="31">
        <f t="shared" si="1"/>
        <v>12868.484848484846</v>
      </c>
      <c r="F23" s="102">
        <f t="shared" si="2"/>
        <v>35766.818181818177</v>
      </c>
      <c r="G23" s="121">
        <f t="shared" si="3"/>
        <v>2.8636363636363633E-2</v>
      </c>
    </row>
    <row r="24" spans="1:7" ht="16">
      <c r="A24" s="134" t="s">
        <v>60</v>
      </c>
      <c r="B24" s="155">
        <v>42</v>
      </c>
      <c r="C24" s="116">
        <v>1</v>
      </c>
      <c r="D24" s="111">
        <f t="shared" si="0"/>
        <v>22898.333333333332</v>
      </c>
      <c r="E24" s="31">
        <f t="shared" si="1"/>
        <v>9826.8429752066095</v>
      </c>
      <c r="F24" s="102">
        <f t="shared" si="2"/>
        <v>32725.176308539943</v>
      </c>
      <c r="G24" s="121">
        <f t="shared" si="3"/>
        <v>2.6201101928374656E-2</v>
      </c>
    </row>
    <row r="25" spans="1:7" ht="16">
      <c r="A25" s="136" t="s">
        <v>10</v>
      </c>
      <c r="B25" s="155">
        <v>48</v>
      </c>
      <c r="C25" s="116">
        <v>1</v>
      </c>
      <c r="D25" s="111">
        <f t="shared" si="0"/>
        <v>22898.333333333332</v>
      </c>
      <c r="E25" s="31">
        <f t="shared" si="1"/>
        <v>11230.677685950412</v>
      </c>
      <c r="F25" s="102">
        <f t="shared" si="2"/>
        <v>34129.011019283746</v>
      </c>
      <c r="G25" s="121">
        <f t="shared" si="3"/>
        <v>2.7325068870523415E-2</v>
      </c>
    </row>
    <row r="26" spans="1:7" ht="16">
      <c r="A26" s="134" t="s">
        <v>21</v>
      </c>
      <c r="B26" s="155">
        <v>43</v>
      </c>
      <c r="C26" s="116">
        <v>1</v>
      </c>
      <c r="D26" s="111">
        <f t="shared" si="0"/>
        <v>22898.333333333332</v>
      </c>
      <c r="E26" s="31">
        <f t="shared" si="1"/>
        <v>10060.815426997244</v>
      </c>
      <c r="F26" s="102">
        <f t="shared" si="2"/>
        <v>32959.148760330572</v>
      </c>
      <c r="G26" s="121">
        <f t="shared" si="3"/>
        <v>2.6388429752066112E-2</v>
      </c>
    </row>
    <row r="27" spans="1:7" ht="16">
      <c r="A27" s="134" t="s">
        <v>28</v>
      </c>
      <c r="B27" s="155">
        <v>38</v>
      </c>
      <c r="C27" s="116">
        <v>1</v>
      </c>
      <c r="D27" s="111">
        <f t="shared" si="0"/>
        <v>22898.333333333332</v>
      </c>
      <c r="E27" s="31">
        <f t="shared" si="1"/>
        <v>8890.9531680440759</v>
      </c>
      <c r="F27" s="102">
        <f t="shared" si="2"/>
        <v>31789.286501377406</v>
      </c>
      <c r="G27" s="121">
        <f t="shared" si="3"/>
        <v>2.5451790633608813E-2</v>
      </c>
    </row>
    <row r="28" spans="1:7" ht="16">
      <c r="A28" s="136" t="s">
        <v>61</v>
      </c>
      <c r="B28" s="155">
        <v>63</v>
      </c>
      <c r="C28" s="116">
        <v>1</v>
      </c>
      <c r="D28" s="111">
        <f t="shared" si="0"/>
        <v>22898.333333333332</v>
      </c>
      <c r="E28" s="31">
        <f t="shared" si="1"/>
        <v>14740.264462809915</v>
      </c>
      <c r="F28" s="102">
        <f t="shared" si="2"/>
        <v>37638.597796143251</v>
      </c>
      <c r="G28" s="121">
        <f t="shared" si="3"/>
        <v>3.0134986225895315E-2</v>
      </c>
    </row>
    <row r="29" spans="1:7" ht="16">
      <c r="A29" s="136" t="s">
        <v>24</v>
      </c>
      <c r="B29" s="155">
        <v>84</v>
      </c>
      <c r="C29" s="116">
        <v>1</v>
      </c>
      <c r="D29" s="111">
        <f t="shared" si="0"/>
        <v>22898.333333333332</v>
      </c>
      <c r="E29" s="31">
        <f t="shared" si="1"/>
        <v>19653.685950413219</v>
      </c>
      <c r="F29" s="102">
        <f t="shared" si="2"/>
        <v>42552.019283746551</v>
      </c>
      <c r="G29" s="121">
        <f t="shared" si="3"/>
        <v>3.4068870523415971E-2</v>
      </c>
    </row>
    <row r="30" spans="1:7" ht="16">
      <c r="A30" s="134" t="s">
        <v>20</v>
      </c>
      <c r="B30" s="155">
        <v>62</v>
      </c>
      <c r="C30" s="116">
        <v>1</v>
      </c>
      <c r="D30" s="111">
        <f t="shared" si="0"/>
        <v>22898.333333333332</v>
      </c>
      <c r="E30" s="31">
        <f t="shared" si="1"/>
        <v>14506.292011019281</v>
      </c>
      <c r="F30" s="102">
        <f t="shared" si="2"/>
        <v>37404.625344352615</v>
      </c>
      <c r="G30" s="121">
        <f t="shared" si="3"/>
        <v>2.9947658402203856E-2</v>
      </c>
    </row>
    <row r="31" spans="1:7" ht="16">
      <c r="A31" s="134" t="s">
        <v>25</v>
      </c>
      <c r="B31" s="155">
        <v>42</v>
      </c>
      <c r="C31" s="116">
        <v>1</v>
      </c>
      <c r="D31" s="111">
        <f t="shared" si="0"/>
        <v>22898.333333333332</v>
      </c>
      <c r="E31" s="31">
        <f t="shared" si="1"/>
        <v>9826.8429752066095</v>
      </c>
      <c r="F31" s="102">
        <f t="shared" si="2"/>
        <v>32725.176308539943</v>
      </c>
      <c r="G31" s="121">
        <f t="shared" si="3"/>
        <v>2.6201101928374656E-2</v>
      </c>
    </row>
    <row r="32" spans="1:7" ht="16">
      <c r="A32" s="136" t="s">
        <v>74</v>
      </c>
      <c r="B32" s="155">
        <v>65</v>
      </c>
      <c r="C32" s="116">
        <v>1</v>
      </c>
      <c r="D32" s="111">
        <f t="shared" si="0"/>
        <v>22898.333333333332</v>
      </c>
      <c r="E32" s="31">
        <f t="shared" si="1"/>
        <v>15208.209366391182</v>
      </c>
      <c r="F32" s="102">
        <f t="shared" si="2"/>
        <v>38106.542699724516</v>
      </c>
      <c r="G32" s="121">
        <f t="shared" si="3"/>
        <v>3.0509641873278235E-2</v>
      </c>
    </row>
    <row r="33" spans="1:7" ht="16">
      <c r="A33" s="134" t="s">
        <v>73</v>
      </c>
      <c r="B33" s="155">
        <v>39</v>
      </c>
      <c r="C33" s="116">
        <v>1</v>
      </c>
      <c r="D33" s="111">
        <f t="shared" si="0"/>
        <v>22898.333333333332</v>
      </c>
      <c r="E33" s="31">
        <f t="shared" si="1"/>
        <v>9124.9256198347102</v>
      </c>
      <c r="F33" s="102">
        <f t="shared" si="2"/>
        <v>32023.258953168042</v>
      </c>
      <c r="G33" s="121">
        <f t="shared" si="3"/>
        <v>2.5639118457300273E-2</v>
      </c>
    </row>
    <row r="34" spans="1:7" ht="16">
      <c r="A34" s="134" t="s">
        <v>23</v>
      </c>
      <c r="B34" s="155">
        <v>46</v>
      </c>
      <c r="C34" s="116">
        <v>1</v>
      </c>
      <c r="D34" s="111">
        <f t="shared" si="0"/>
        <v>22898.333333333332</v>
      </c>
      <c r="E34" s="31">
        <f t="shared" si="1"/>
        <v>10762.732782369145</v>
      </c>
      <c r="F34" s="102">
        <f t="shared" si="2"/>
        <v>33661.066115702473</v>
      </c>
      <c r="G34" s="121">
        <f t="shared" si="3"/>
        <v>2.6950413223140492E-2</v>
      </c>
    </row>
    <row r="35" spans="1:7" ht="16">
      <c r="A35" s="137" t="s">
        <v>27</v>
      </c>
      <c r="B35" s="155">
        <v>41</v>
      </c>
      <c r="C35" s="116">
        <v>1</v>
      </c>
      <c r="D35" s="111">
        <f t="shared" si="0"/>
        <v>22898.333333333332</v>
      </c>
      <c r="E35" s="31">
        <f t="shared" si="1"/>
        <v>9592.8705234159752</v>
      </c>
      <c r="F35" s="102">
        <f t="shared" si="2"/>
        <v>32491.203856749307</v>
      </c>
      <c r="G35" s="121">
        <f t="shared" si="3"/>
        <v>2.6013774104683193E-2</v>
      </c>
    </row>
    <row r="36" spans="1:7" ht="16">
      <c r="A36" s="134" t="s">
        <v>33</v>
      </c>
      <c r="B36" s="155">
        <v>80</v>
      </c>
      <c r="C36" s="116">
        <v>1</v>
      </c>
      <c r="D36" s="111">
        <f t="shared" si="0"/>
        <v>22898.333333333332</v>
      </c>
      <c r="E36" s="31">
        <f t="shared" si="1"/>
        <v>18717.796143250685</v>
      </c>
      <c r="F36" s="103">
        <f t="shared" si="2"/>
        <v>41616.129476584014</v>
      </c>
      <c r="G36" s="121">
        <f t="shared" si="3"/>
        <v>3.3319559228650132E-2</v>
      </c>
    </row>
    <row r="37" spans="1:7" ht="16">
      <c r="A37" s="134" t="s">
        <v>64</v>
      </c>
      <c r="B37" s="155">
        <v>94</v>
      </c>
      <c r="C37" s="116">
        <v>1</v>
      </c>
      <c r="D37" s="111">
        <f t="shared" si="0"/>
        <v>22898.333333333332</v>
      </c>
      <c r="E37" s="31">
        <f t="shared" si="1"/>
        <v>21993.410468319555</v>
      </c>
      <c r="F37" s="102">
        <f t="shared" si="2"/>
        <v>44891.74380165289</v>
      </c>
      <c r="G37" s="121">
        <f t="shared" si="3"/>
        <v>3.5942148760330576E-2</v>
      </c>
    </row>
    <row r="38" spans="1:7" ht="16">
      <c r="A38" s="134" t="s">
        <v>16</v>
      </c>
      <c r="B38" s="155">
        <v>46</v>
      </c>
      <c r="C38" s="116">
        <v>1</v>
      </c>
      <c r="D38" s="111">
        <f t="shared" si="0"/>
        <v>22898.333333333332</v>
      </c>
      <c r="E38" s="31">
        <f t="shared" si="1"/>
        <v>10762.732782369145</v>
      </c>
      <c r="F38" s="102">
        <f t="shared" si="2"/>
        <v>33661.066115702473</v>
      </c>
      <c r="G38" s="121">
        <f t="shared" si="3"/>
        <v>2.6950413223140492E-2</v>
      </c>
    </row>
    <row r="39" spans="1:7" ht="16">
      <c r="A39" s="134" t="s">
        <v>63</v>
      </c>
      <c r="B39" s="155">
        <v>47</v>
      </c>
      <c r="C39" s="116">
        <v>1</v>
      </c>
      <c r="D39" s="111">
        <f t="shared" si="0"/>
        <v>22898.333333333332</v>
      </c>
      <c r="E39" s="31">
        <f t="shared" si="1"/>
        <v>10996.705234159777</v>
      </c>
      <c r="F39" s="102">
        <f t="shared" si="2"/>
        <v>33895.038567493109</v>
      </c>
      <c r="G39" s="121">
        <f t="shared" si="3"/>
        <v>2.7137741046831951E-2</v>
      </c>
    </row>
    <row r="40" spans="1:7" ht="16">
      <c r="A40" s="134" t="s">
        <v>19</v>
      </c>
      <c r="B40" s="155">
        <v>33</v>
      </c>
      <c r="C40" s="116">
        <v>1</v>
      </c>
      <c r="D40" s="111">
        <f t="shared" si="0"/>
        <v>22898.333333333332</v>
      </c>
      <c r="E40" s="31">
        <f t="shared" si="1"/>
        <v>7721.0909090909081</v>
      </c>
      <c r="F40" s="102">
        <f t="shared" si="2"/>
        <v>30619.42424242424</v>
      </c>
      <c r="G40" s="121">
        <f t="shared" si="3"/>
        <v>2.4515151515151514E-2</v>
      </c>
    </row>
    <row r="41" spans="1:7" ht="16">
      <c r="A41" s="134" t="s">
        <v>29</v>
      </c>
      <c r="B41" s="156">
        <v>26</v>
      </c>
      <c r="C41" s="117">
        <v>1</v>
      </c>
      <c r="D41" s="111">
        <f t="shared" si="0"/>
        <v>22898.333333333332</v>
      </c>
      <c r="E41" s="31">
        <f t="shared" si="1"/>
        <v>6083.2837465564726</v>
      </c>
      <c r="F41" s="102">
        <f t="shared" si="2"/>
        <v>28981.617079889806</v>
      </c>
      <c r="G41" s="121">
        <f t="shared" si="3"/>
        <v>2.3203856749311292E-2</v>
      </c>
    </row>
    <row r="42" spans="1:7" ht="16">
      <c r="A42" s="138" t="s">
        <v>62</v>
      </c>
      <c r="B42" s="157">
        <v>21</v>
      </c>
      <c r="C42" s="118">
        <v>1</v>
      </c>
      <c r="D42" s="111">
        <f t="shared" si="0"/>
        <v>22898.333333333332</v>
      </c>
      <c r="E42" s="31">
        <f t="shared" si="1"/>
        <v>4913.4214876033047</v>
      </c>
      <c r="F42" s="102">
        <f t="shared" si="2"/>
        <v>27811.754820936636</v>
      </c>
      <c r="G42" s="121">
        <f t="shared" si="3"/>
        <v>2.2267217630853993E-2</v>
      </c>
    </row>
    <row r="43" spans="1:7" ht="16">
      <c r="A43" s="138" t="s">
        <v>32</v>
      </c>
      <c r="B43" s="157">
        <v>37</v>
      </c>
      <c r="C43" s="118">
        <v>1</v>
      </c>
      <c r="D43" s="111">
        <f t="shared" si="0"/>
        <v>22898.333333333332</v>
      </c>
      <c r="E43" s="31">
        <f t="shared" si="1"/>
        <v>8656.9807162534416</v>
      </c>
      <c r="F43" s="104">
        <f t="shared" si="2"/>
        <v>31555.314049586774</v>
      </c>
      <c r="G43" s="121">
        <f t="shared" si="3"/>
        <v>2.5264462809917353E-2</v>
      </c>
    </row>
    <row r="44" spans="1:7" ht="16">
      <c r="A44" s="134" t="s">
        <v>58</v>
      </c>
      <c r="B44" s="156">
        <v>21</v>
      </c>
      <c r="C44" s="117">
        <v>1</v>
      </c>
      <c r="D44" s="111">
        <f t="shared" si="0"/>
        <v>22898.333333333332</v>
      </c>
      <c r="E44" s="31">
        <f t="shared" si="1"/>
        <v>4913.4214876033047</v>
      </c>
      <c r="F44" s="102">
        <f t="shared" si="2"/>
        <v>27811.754820936636</v>
      </c>
      <c r="G44" s="121">
        <f t="shared" si="3"/>
        <v>2.2267217630853993E-2</v>
      </c>
    </row>
    <row r="45" spans="1:7" ht="16">
      <c r="A45" s="134" t="s">
        <v>75</v>
      </c>
      <c r="B45" s="156">
        <v>15</v>
      </c>
      <c r="C45" s="117">
        <v>1</v>
      </c>
      <c r="D45" s="111">
        <f t="shared" si="0"/>
        <v>22898.333333333332</v>
      </c>
      <c r="E45" s="31">
        <f t="shared" si="1"/>
        <v>3509.5867768595035</v>
      </c>
      <c r="F45" s="102">
        <f t="shared" si="2"/>
        <v>26407.920110192834</v>
      </c>
      <c r="G45" s="121">
        <f t="shared" si="3"/>
        <v>2.1143250688705231E-2</v>
      </c>
    </row>
    <row r="46" spans="1:7" ht="16">
      <c r="A46" s="138" t="s">
        <v>76</v>
      </c>
      <c r="B46" s="158">
        <v>1</v>
      </c>
      <c r="C46" s="115">
        <v>1</v>
      </c>
      <c r="D46" s="111">
        <f t="shared" si="0"/>
        <v>22898.333333333332</v>
      </c>
      <c r="E46" s="31">
        <f t="shared" si="1"/>
        <v>233.97245179063358</v>
      </c>
      <c r="F46" s="102">
        <f t="shared" si="2"/>
        <v>23132.305785123965</v>
      </c>
      <c r="G46" s="121">
        <f t="shared" si="3"/>
        <v>1.8520661157024793E-2</v>
      </c>
    </row>
    <row r="47" spans="1:7" ht="16">
      <c r="A47" s="134" t="s">
        <v>77</v>
      </c>
      <c r="B47" s="158">
        <v>0</v>
      </c>
      <c r="C47" s="115">
        <v>0</v>
      </c>
      <c r="D47" s="111">
        <f t="shared" si="0"/>
        <v>0</v>
      </c>
      <c r="E47" s="31">
        <f t="shared" si="1"/>
        <v>0</v>
      </c>
      <c r="F47" s="102">
        <f t="shared" si="2"/>
        <v>0</v>
      </c>
      <c r="G47" s="121">
        <f t="shared" si="3"/>
        <v>0</v>
      </c>
    </row>
    <row r="48" spans="1:7" ht="16">
      <c r="A48" s="138" t="s">
        <v>65</v>
      </c>
      <c r="B48" s="158">
        <v>11</v>
      </c>
      <c r="C48" s="115">
        <v>1</v>
      </c>
      <c r="D48" s="111">
        <f t="shared" si="0"/>
        <v>22898.333333333332</v>
      </c>
      <c r="E48" s="31">
        <f t="shared" si="1"/>
        <v>2573.6969696969691</v>
      </c>
      <c r="F48" s="102">
        <f t="shared" si="2"/>
        <v>25472.0303030303</v>
      </c>
      <c r="G48" s="121">
        <f t="shared" si="3"/>
        <v>2.0393939393939391E-2</v>
      </c>
    </row>
    <row r="49" spans="1:7" ht="16">
      <c r="A49" s="139" t="s">
        <v>53</v>
      </c>
      <c r="B49" s="158">
        <v>13</v>
      </c>
      <c r="C49" s="115">
        <v>1</v>
      </c>
      <c r="D49" s="111">
        <f t="shared" si="0"/>
        <v>22898.333333333332</v>
      </c>
      <c r="E49" s="31">
        <f t="shared" si="1"/>
        <v>3041.6418732782363</v>
      </c>
      <c r="F49" s="102">
        <f t="shared" si="2"/>
        <v>25939.975206611569</v>
      </c>
      <c r="G49" s="121">
        <f t="shared" si="3"/>
        <v>2.0768595041322314E-2</v>
      </c>
    </row>
    <row r="50" spans="1:7" ht="16">
      <c r="A50" s="138" t="s">
        <v>56</v>
      </c>
      <c r="B50" s="158">
        <v>7</v>
      </c>
      <c r="C50" s="115">
        <v>1</v>
      </c>
      <c r="D50" s="111">
        <f t="shared" si="0"/>
        <v>22898.333333333332</v>
      </c>
      <c r="E50" s="31">
        <f t="shared" si="1"/>
        <v>1637.8071625344351</v>
      </c>
      <c r="F50" s="102">
        <f t="shared" si="2"/>
        <v>24536.140495867767</v>
      </c>
      <c r="G50" s="121">
        <f t="shared" si="3"/>
        <v>1.9644628099173552E-2</v>
      </c>
    </row>
    <row r="51" spans="1:7" ht="16">
      <c r="A51" s="134" t="s">
        <v>59</v>
      </c>
      <c r="B51" s="158">
        <v>0</v>
      </c>
      <c r="C51" s="118">
        <v>0</v>
      </c>
      <c r="D51" s="111">
        <f t="shared" si="0"/>
        <v>0</v>
      </c>
      <c r="E51" s="31">
        <f t="shared" si="1"/>
        <v>0</v>
      </c>
      <c r="F51" s="102">
        <f t="shared" si="2"/>
        <v>0</v>
      </c>
      <c r="G51" s="121">
        <f t="shared" si="3"/>
        <v>0</v>
      </c>
    </row>
    <row r="52" spans="1:7" ht="16">
      <c r="A52" s="138" t="s">
        <v>140</v>
      </c>
      <c r="B52" s="158">
        <v>1</v>
      </c>
      <c r="C52" s="118">
        <v>1</v>
      </c>
      <c r="D52" s="111">
        <f t="shared" si="0"/>
        <v>22898.333333333332</v>
      </c>
      <c r="E52" s="31">
        <f t="shared" si="1"/>
        <v>233.97245179063358</v>
      </c>
      <c r="F52" s="102">
        <f t="shared" si="2"/>
        <v>23132.305785123965</v>
      </c>
      <c r="G52" s="121">
        <f t="shared" si="3"/>
        <v>1.8520661157024793E-2</v>
      </c>
    </row>
    <row r="53" spans="1:7" ht="16">
      <c r="A53" s="124" t="s">
        <v>35</v>
      </c>
      <c r="B53" s="158">
        <v>2</v>
      </c>
      <c r="C53" s="117">
        <v>1</v>
      </c>
      <c r="D53" s="111">
        <f t="shared" si="0"/>
        <v>22898.333333333332</v>
      </c>
      <c r="E53" s="31">
        <f t="shared" si="1"/>
        <v>467.94490358126717</v>
      </c>
      <c r="F53" s="102">
        <f t="shared" si="2"/>
        <v>23366.278236914601</v>
      </c>
      <c r="G53" s="121">
        <f t="shared" si="3"/>
        <v>1.8707988980716253E-2</v>
      </c>
    </row>
    <row r="54" spans="1:7" ht="17" thickBot="1">
      <c r="A54" s="140" t="s">
        <v>78</v>
      </c>
      <c r="B54" s="159">
        <v>4</v>
      </c>
      <c r="C54" s="125">
        <v>1</v>
      </c>
      <c r="D54" s="122">
        <f t="shared" si="0"/>
        <v>22898.333333333332</v>
      </c>
      <c r="E54" s="50">
        <f t="shared" si="1"/>
        <v>935.88980716253434</v>
      </c>
      <c r="F54" s="114">
        <f t="shared" si="2"/>
        <v>23834.223140495866</v>
      </c>
      <c r="G54" s="123">
        <f t="shared" si="3"/>
        <v>1.9082644628099173E-2</v>
      </c>
    </row>
    <row r="55" spans="1:7" ht="17" thickBot="1">
      <c r="A55" s="61"/>
      <c r="B55" s="127"/>
      <c r="C55" s="60"/>
      <c r="D55" s="57"/>
      <c r="E55" s="57"/>
      <c r="F55" s="91"/>
    </row>
    <row r="56" spans="1:7" ht="17" thickBot="1">
      <c r="A56" s="54" t="s">
        <v>36</v>
      </c>
      <c r="B56" s="128">
        <f t="shared" ref="B56:G56" si="4">SUM(B17:B54)</f>
        <v>1815</v>
      </c>
      <c r="C56" s="119">
        <f t="shared" si="4"/>
        <v>36</v>
      </c>
      <c r="D56" s="31">
        <f t="shared" si="4"/>
        <v>824340.00000000035</v>
      </c>
      <c r="E56" s="31">
        <f t="shared" si="4"/>
        <v>424659.99999999988</v>
      </c>
      <c r="F56" s="120">
        <f t="shared" si="4"/>
        <v>1249000</v>
      </c>
      <c r="G56" s="98">
        <f t="shared" si="4"/>
        <v>1</v>
      </c>
    </row>
    <row r="57" spans="1:7" ht="16">
      <c r="A57" s="153" t="s">
        <v>90</v>
      </c>
      <c r="B57" s="60"/>
      <c r="C57" s="60"/>
      <c r="D57" s="31">
        <f>F10*D15</f>
        <v>824340</v>
      </c>
      <c r="E57" s="31">
        <f>F10*E15</f>
        <v>424659.99999999994</v>
      </c>
      <c r="F57" s="31"/>
      <c r="G57"/>
    </row>
    <row r="58" spans="1:7" ht="16">
      <c r="A58" s="61"/>
      <c r="B58" s="92"/>
      <c r="C58" s="92"/>
      <c r="D58" s="63"/>
      <c r="E58" s="109">
        <f>E56+D56</f>
        <v>1249000.0000000002</v>
      </c>
      <c r="F58" s="63"/>
      <c r="G58"/>
    </row>
    <row r="59" spans="1:7" ht="13.5" customHeight="1">
      <c r="D59" s="65"/>
      <c r="E59" s="65"/>
      <c r="F59" s="65"/>
      <c r="G59"/>
    </row>
    <row r="60" spans="1:7">
      <c r="A60" s="5" t="s">
        <v>92</v>
      </c>
      <c r="D60" s="68"/>
      <c r="E60" s="68"/>
      <c r="F60" s="68"/>
      <c r="G60"/>
    </row>
  </sheetData>
  <autoFilter ref="A16:G16" xr:uid="{00000000-0009-0000-0000-000006000000}">
    <sortState ref="A17:G53">
      <sortCondition descending="1" ref="F16"/>
    </sortState>
  </autoFilter>
  <mergeCells count="3">
    <mergeCell ref="A1:F3"/>
    <mergeCell ref="B9:F9"/>
    <mergeCell ref="D14:F14"/>
  </mergeCells>
  <pageMargins left="0.7" right="0.7" top="0.78740157499999996" bottom="0.78740157499999996" header="0.3" footer="0.3"/>
  <pageSetup paperSize="9" scale="60"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60"/>
  <sheetViews>
    <sheetView zoomScale="80" zoomScaleNormal="80" workbookViewId="0">
      <selection activeCell="F9" sqref="F9"/>
    </sheetView>
  </sheetViews>
  <sheetFormatPr baseColWidth="10" defaultColWidth="8.83203125" defaultRowHeight="15"/>
  <cols>
    <col min="1" max="1" width="45.5" customWidth="1"/>
    <col min="2" max="2" width="21.6640625" style="2" customWidth="1"/>
    <col min="3" max="3" width="10.33203125" style="2" customWidth="1"/>
    <col min="4" max="4" width="15" customWidth="1"/>
    <col min="5" max="5" width="18.83203125" customWidth="1"/>
    <col min="6" max="6" width="13.83203125" bestFit="1" customWidth="1"/>
    <col min="7" max="7" width="8.5" style="94" bestFit="1" customWidth="1"/>
    <col min="8" max="8" width="10.33203125" customWidth="1"/>
  </cols>
  <sheetData>
    <row r="1" spans="1:7" ht="18.75" customHeight="1">
      <c r="A1" s="266" t="s">
        <v>107</v>
      </c>
      <c r="B1" s="266"/>
      <c r="C1" s="266"/>
      <c r="D1" s="266"/>
      <c r="E1" s="266"/>
      <c r="F1" s="266"/>
    </row>
    <row r="2" spans="1:7" ht="18.75" customHeight="1">
      <c r="A2" s="266"/>
      <c r="B2" s="266"/>
      <c r="C2" s="266"/>
      <c r="D2" s="266"/>
      <c r="E2" s="266"/>
      <c r="F2" s="266"/>
    </row>
    <row r="3" spans="1:7" ht="18.75" customHeight="1">
      <c r="A3" s="266"/>
      <c r="B3" s="266"/>
      <c r="C3" s="266"/>
      <c r="D3" s="266"/>
      <c r="E3" s="266"/>
      <c r="F3" s="266"/>
    </row>
    <row r="4" spans="1:7" ht="16">
      <c r="A4" s="3" t="s">
        <v>93</v>
      </c>
    </row>
    <row r="5" spans="1:7" ht="16">
      <c r="A5" s="4" t="s">
        <v>71</v>
      </c>
    </row>
    <row r="6" spans="1:7">
      <c r="A6" s="5"/>
    </row>
    <row r="7" spans="1:7" ht="105.75" customHeight="1" thickBot="1">
      <c r="A7" s="126" t="s">
        <v>79</v>
      </c>
    </row>
    <row r="8" spans="1:7" ht="17" thickBot="1">
      <c r="B8" s="267" t="s">
        <v>54</v>
      </c>
      <c r="C8" s="268"/>
      <c r="D8" s="268"/>
      <c r="E8" s="268"/>
      <c r="F8" s="269"/>
    </row>
    <row r="9" spans="1:7" ht="17" thickBot="1">
      <c r="B9" s="161" t="s">
        <v>96</v>
      </c>
      <c r="C9" s="162"/>
      <c r="D9" s="162"/>
      <c r="E9" s="162"/>
      <c r="F9" s="93">
        <v>1684000</v>
      </c>
    </row>
    <row r="10" spans="1:7" ht="16" thickBot="1">
      <c r="B10" s="163"/>
    </row>
    <row r="11" spans="1:7" ht="16.5" customHeight="1" thickBot="1">
      <c r="B11" s="164" t="s">
        <v>97</v>
      </c>
      <c r="C11" s="105"/>
      <c r="D11" s="105"/>
      <c r="E11" s="106"/>
      <c r="F11" s="165">
        <f>SUM(F9,-F12)</f>
        <v>1184000</v>
      </c>
    </row>
    <row r="12" spans="1:7" ht="16.5" customHeight="1" thickBot="1">
      <c r="A12" s="99"/>
      <c r="B12" s="164" t="s">
        <v>98</v>
      </c>
      <c r="C12" s="166"/>
      <c r="D12" s="166"/>
      <c r="E12" s="166"/>
      <c r="F12" s="165">
        <v>500000</v>
      </c>
    </row>
    <row r="13" spans="1:7" s="11" customFormat="1" ht="16.5" customHeight="1" thickBot="1">
      <c r="A13" s="9"/>
      <c r="B13" s="10"/>
      <c r="C13" s="10"/>
      <c r="E13" s="12"/>
      <c r="F13" s="13"/>
      <c r="G13" s="95"/>
    </row>
    <row r="14" spans="1:7" s="9" customFormat="1" ht="65.25" customHeight="1" thickBot="1">
      <c r="B14" s="160" t="s">
        <v>91</v>
      </c>
      <c r="C14" s="160" t="s">
        <v>68</v>
      </c>
      <c r="D14" s="261" t="s">
        <v>130</v>
      </c>
      <c r="E14" s="262"/>
      <c r="F14" s="263"/>
      <c r="G14" s="96"/>
    </row>
    <row r="15" spans="1:7" s="20" customFormat="1" ht="17" thickBot="1">
      <c r="B15" s="107"/>
      <c r="C15" s="160"/>
      <c r="D15" s="17">
        <v>0.66</v>
      </c>
      <c r="E15" s="18">
        <f>1-D15</f>
        <v>0.33999999999999997</v>
      </c>
      <c r="F15" s="108"/>
      <c r="G15" s="97"/>
    </row>
    <row r="16" spans="1:7" s="20" customFormat="1" ht="17" thickBot="1">
      <c r="A16" s="112" t="s">
        <v>66</v>
      </c>
      <c r="B16" s="107">
        <v>2014</v>
      </c>
      <c r="C16" s="160"/>
      <c r="D16" s="17" t="s">
        <v>4</v>
      </c>
      <c r="E16" s="18" t="s">
        <v>5</v>
      </c>
      <c r="F16" s="108" t="s">
        <v>6</v>
      </c>
      <c r="G16" s="113" t="s">
        <v>67</v>
      </c>
    </row>
    <row r="17" spans="1:7" ht="16">
      <c r="A17" s="135" t="s">
        <v>7</v>
      </c>
      <c r="B17" s="154">
        <v>203</v>
      </c>
      <c r="C17" s="118">
        <v>1</v>
      </c>
      <c r="D17" s="111">
        <f t="shared" ref="D17:D54" si="0">$F$11*$D$15/$C$56*C17</f>
        <v>21706.666666666668</v>
      </c>
      <c r="E17" s="31">
        <f t="shared" ref="E17:E54" si="1">$F$11*$E$15*B17/$B$56</f>
        <v>45024.617079889802</v>
      </c>
      <c r="F17" s="102">
        <f t="shared" ref="F17:F54" si="2">(D17+E17)</f>
        <v>66731.283746556466</v>
      </c>
      <c r="G17" s="121">
        <f>F17/$F$56</f>
        <v>5.6360881542699727E-2</v>
      </c>
    </row>
    <row r="18" spans="1:7" ht="16.5" customHeight="1">
      <c r="A18" s="134" t="s">
        <v>11</v>
      </c>
      <c r="B18" s="155">
        <v>102</v>
      </c>
      <c r="C18" s="116">
        <v>1</v>
      </c>
      <c r="D18" s="111">
        <f t="shared" si="0"/>
        <v>21706.666666666668</v>
      </c>
      <c r="E18" s="31">
        <f t="shared" si="1"/>
        <v>22623.206611570244</v>
      </c>
      <c r="F18" s="102">
        <f t="shared" si="2"/>
        <v>44329.873278236912</v>
      </c>
      <c r="G18" s="121">
        <f>F18/$F$56</f>
        <v>3.7440771349862262E-2</v>
      </c>
    </row>
    <row r="19" spans="1:7" ht="16">
      <c r="A19" s="136" t="s">
        <v>12</v>
      </c>
      <c r="B19" s="155">
        <v>79</v>
      </c>
      <c r="C19" s="116">
        <v>1</v>
      </c>
      <c r="D19" s="111">
        <f t="shared" si="0"/>
        <v>21706.666666666668</v>
      </c>
      <c r="E19" s="31">
        <f t="shared" si="1"/>
        <v>17521.895316804406</v>
      </c>
      <c r="F19" s="102">
        <f t="shared" si="2"/>
        <v>39228.561983471074</v>
      </c>
      <c r="G19" s="121">
        <f>F19/$F$56</f>
        <v>3.3132231404958683E-2</v>
      </c>
    </row>
    <row r="20" spans="1:7" ht="16">
      <c r="A20" s="136" t="s">
        <v>57</v>
      </c>
      <c r="B20" s="155">
        <v>132</v>
      </c>
      <c r="C20" s="116">
        <v>1</v>
      </c>
      <c r="D20" s="111">
        <f t="shared" si="0"/>
        <v>21706.666666666668</v>
      </c>
      <c r="E20" s="31">
        <f t="shared" si="1"/>
        <v>29277.090909090904</v>
      </c>
      <c r="F20" s="102">
        <f t="shared" si="2"/>
        <v>50983.757575757569</v>
      </c>
      <c r="G20" s="121">
        <f>F20/$F$56</f>
        <v>4.3060606060606063E-2</v>
      </c>
    </row>
    <row r="21" spans="1:7" ht="16">
      <c r="A21" s="134" t="s">
        <v>8</v>
      </c>
      <c r="B21" s="155">
        <v>85</v>
      </c>
      <c r="C21" s="116">
        <v>1</v>
      </c>
      <c r="D21" s="111">
        <f t="shared" si="0"/>
        <v>21706.666666666668</v>
      </c>
      <c r="E21" s="31">
        <f t="shared" si="1"/>
        <v>18852.672176308537</v>
      </c>
      <c r="F21" s="102">
        <f t="shared" si="2"/>
        <v>40559.338842975209</v>
      </c>
      <c r="G21" s="121">
        <f>F21/$F$56</f>
        <v>3.4256198347107449E-2</v>
      </c>
    </row>
    <row r="22" spans="1:7" ht="16.5" customHeight="1">
      <c r="A22" s="134" t="s">
        <v>69</v>
      </c>
      <c r="B22" s="155">
        <v>87</v>
      </c>
      <c r="C22" s="116">
        <v>1</v>
      </c>
      <c r="D22" s="111">
        <f t="shared" si="0"/>
        <v>21706.666666666668</v>
      </c>
      <c r="E22" s="31">
        <f t="shared" si="1"/>
        <v>19296.264462809911</v>
      </c>
      <c r="F22" s="102">
        <f t="shared" si="2"/>
        <v>41002.931129476579</v>
      </c>
      <c r="G22" s="121">
        <f t="shared" ref="G22:G54" si="3">F22/$F$56</f>
        <v>3.4630853994490361E-2</v>
      </c>
    </row>
    <row r="23" spans="1:7" ht="16.5" customHeight="1">
      <c r="A23" s="134" t="s">
        <v>13</v>
      </c>
      <c r="B23" s="155">
        <v>55</v>
      </c>
      <c r="C23" s="116">
        <v>1</v>
      </c>
      <c r="D23" s="111">
        <f t="shared" si="0"/>
        <v>21706.666666666668</v>
      </c>
      <c r="E23" s="31">
        <f t="shared" si="1"/>
        <v>12198.787878787876</v>
      </c>
      <c r="F23" s="102">
        <f t="shared" si="2"/>
        <v>33905.454545454544</v>
      </c>
      <c r="G23" s="121">
        <f t="shared" si="3"/>
        <v>2.863636363636364E-2</v>
      </c>
    </row>
    <row r="24" spans="1:7" ht="16">
      <c r="A24" s="134" t="s">
        <v>60</v>
      </c>
      <c r="B24" s="155">
        <v>42</v>
      </c>
      <c r="C24" s="116">
        <v>1</v>
      </c>
      <c r="D24" s="111">
        <f t="shared" si="0"/>
        <v>21706.666666666668</v>
      </c>
      <c r="E24" s="31">
        <f t="shared" si="1"/>
        <v>9315.438016528924</v>
      </c>
      <c r="F24" s="102">
        <f t="shared" si="2"/>
        <v>31022.10468319559</v>
      </c>
      <c r="G24" s="121">
        <f t="shared" si="3"/>
        <v>2.6201101928374659E-2</v>
      </c>
    </row>
    <row r="25" spans="1:7" ht="16">
      <c r="A25" s="136" t="s">
        <v>10</v>
      </c>
      <c r="B25" s="155">
        <v>48</v>
      </c>
      <c r="C25" s="116">
        <v>1</v>
      </c>
      <c r="D25" s="111">
        <f t="shared" si="0"/>
        <v>21706.666666666668</v>
      </c>
      <c r="E25" s="31">
        <f t="shared" si="1"/>
        <v>10646.214876033056</v>
      </c>
      <c r="F25" s="102">
        <f t="shared" si="2"/>
        <v>32352.881542699724</v>
      </c>
      <c r="G25" s="121">
        <f t="shared" si="3"/>
        <v>2.7325068870523422E-2</v>
      </c>
    </row>
    <row r="26" spans="1:7" ht="16">
      <c r="A26" s="134" t="s">
        <v>21</v>
      </c>
      <c r="B26" s="155">
        <v>43</v>
      </c>
      <c r="C26" s="116">
        <v>1</v>
      </c>
      <c r="D26" s="111">
        <f t="shared" si="0"/>
        <v>21706.666666666668</v>
      </c>
      <c r="E26" s="31">
        <f t="shared" si="1"/>
        <v>9537.234159779613</v>
      </c>
      <c r="F26" s="102">
        <f t="shared" si="2"/>
        <v>31243.900826446283</v>
      </c>
      <c r="G26" s="121">
        <f t="shared" si="3"/>
        <v>2.6388429752066123E-2</v>
      </c>
    </row>
    <row r="27" spans="1:7" ht="16">
      <c r="A27" s="134" t="s">
        <v>28</v>
      </c>
      <c r="B27" s="155">
        <v>38</v>
      </c>
      <c r="C27" s="116">
        <v>1</v>
      </c>
      <c r="D27" s="111">
        <f t="shared" si="0"/>
        <v>21706.666666666668</v>
      </c>
      <c r="E27" s="31">
        <f t="shared" si="1"/>
        <v>8428.2534435261696</v>
      </c>
      <c r="F27" s="102">
        <f t="shared" si="2"/>
        <v>30134.920110192837</v>
      </c>
      <c r="G27" s="121">
        <f t="shared" si="3"/>
        <v>2.545179063360882E-2</v>
      </c>
    </row>
    <row r="28" spans="1:7" ht="16">
      <c r="A28" s="136" t="s">
        <v>61</v>
      </c>
      <c r="B28" s="155">
        <v>63</v>
      </c>
      <c r="C28" s="116">
        <v>1</v>
      </c>
      <c r="D28" s="111">
        <f t="shared" si="0"/>
        <v>21706.666666666668</v>
      </c>
      <c r="E28" s="31">
        <f t="shared" si="1"/>
        <v>13973.157024793387</v>
      </c>
      <c r="F28" s="102">
        <f t="shared" si="2"/>
        <v>35679.823691460057</v>
      </c>
      <c r="G28" s="121">
        <f t="shared" si="3"/>
        <v>3.0134986225895322E-2</v>
      </c>
    </row>
    <row r="29" spans="1:7" ht="16">
      <c r="A29" s="136" t="s">
        <v>24</v>
      </c>
      <c r="B29" s="155">
        <v>84</v>
      </c>
      <c r="C29" s="116">
        <v>1</v>
      </c>
      <c r="D29" s="111">
        <f t="shared" si="0"/>
        <v>21706.666666666668</v>
      </c>
      <c r="E29" s="31">
        <f t="shared" si="1"/>
        <v>18630.876033057848</v>
      </c>
      <c r="F29" s="102">
        <f t="shared" si="2"/>
        <v>40337.542699724516</v>
      </c>
      <c r="G29" s="121">
        <f t="shared" si="3"/>
        <v>3.4068870523415985E-2</v>
      </c>
    </row>
    <row r="30" spans="1:7" ht="16">
      <c r="A30" s="134" t="s">
        <v>20</v>
      </c>
      <c r="B30" s="155">
        <v>62</v>
      </c>
      <c r="C30" s="116">
        <v>1</v>
      </c>
      <c r="D30" s="111">
        <f t="shared" si="0"/>
        <v>21706.666666666668</v>
      </c>
      <c r="E30" s="31">
        <f t="shared" si="1"/>
        <v>13751.360881542698</v>
      </c>
      <c r="F30" s="102">
        <f t="shared" si="2"/>
        <v>35458.027548209364</v>
      </c>
      <c r="G30" s="121">
        <f t="shared" si="3"/>
        <v>2.9947658402203859E-2</v>
      </c>
    </row>
    <row r="31" spans="1:7" ht="16">
      <c r="A31" s="134" t="s">
        <v>25</v>
      </c>
      <c r="B31" s="155">
        <v>42</v>
      </c>
      <c r="C31" s="116">
        <v>1</v>
      </c>
      <c r="D31" s="111">
        <f t="shared" si="0"/>
        <v>21706.666666666668</v>
      </c>
      <c r="E31" s="31">
        <f t="shared" si="1"/>
        <v>9315.438016528924</v>
      </c>
      <c r="F31" s="102">
        <f t="shared" si="2"/>
        <v>31022.10468319559</v>
      </c>
      <c r="G31" s="121">
        <f t="shared" si="3"/>
        <v>2.6201101928374659E-2</v>
      </c>
    </row>
    <row r="32" spans="1:7" ht="16">
      <c r="A32" s="136" t="s">
        <v>74</v>
      </c>
      <c r="B32" s="155">
        <v>65</v>
      </c>
      <c r="C32" s="116">
        <v>1</v>
      </c>
      <c r="D32" s="111">
        <f t="shared" si="0"/>
        <v>21706.666666666668</v>
      </c>
      <c r="E32" s="31">
        <f t="shared" si="1"/>
        <v>14416.749311294763</v>
      </c>
      <c r="F32" s="102">
        <f t="shared" si="2"/>
        <v>36123.415977961427</v>
      </c>
      <c r="G32" s="121">
        <f t="shared" si="3"/>
        <v>3.0509641873278238E-2</v>
      </c>
    </row>
    <row r="33" spans="1:7" ht="16">
      <c r="A33" s="134" t="s">
        <v>73</v>
      </c>
      <c r="B33" s="155">
        <v>39</v>
      </c>
      <c r="C33" s="116">
        <v>1</v>
      </c>
      <c r="D33" s="111">
        <f t="shared" si="0"/>
        <v>21706.666666666668</v>
      </c>
      <c r="E33" s="31">
        <f t="shared" si="1"/>
        <v>8650.0495867768586</v>
      </c>
      <c r="F33" s="102">
        <f t="shared" si="2"/>
        <v>30356.716253443527</v>
      </c>
      <c r="G33" s="121">
        <f t="shared" si="3"/>
        <v>2.563911845730028E-2</v>
      </c>
    </row>
    <row r="34" spans="1:7" ht="16">
      <c r="A34" s="134" t="s">
        <v>23</v>
      </c>
      <c r="B34" s="155">
        <v>46</v>
      </c>
      <c r="C34" s="116">
        <v>1</v>
      </c>
      <c r="D34" s="111">
        <f t="shared" si="0"/>
        <v>21706.666666666668</v>
      </c>
      <c r="E34" s="31">
        <f t="shared" si="1"/>
        <v>10202.622589531678</v>
      </c>
      <c r="F34" s="102">
        <f t="shared" si="2"/>
        <v>31909.289256198346</v>
      </c>
      <c r="G34" s="121">
        <f t="shared" si="3"/>
        <v>2.6950413223140502E-2</v>
      </c>
    </row>
    <row r="35" spans="1:7" ht="16">
      <c r="A35" s="137" t="s">
        <v>27</v>
      </c>
      <c r="B35" s="155">
        <v>41</v>
      </c>
      <c r="C35" s="116">
        <v>1</v>
      </c>
      <c r="D35" s="111">
        <f t="shared" si="0"/>
        <v>21706.666666666668</v>
      </c>
      <c r="E35" s="31">
        <f t="shared" si="1"/>
        <v>9093.6418732782367</v>
      </c>
      <c r="F35" s="102">
        <f t="shared" si="2"/>
        <v>30800.308539944905</v>
      </c>
      <c r="G35" s="121">
        <f t="shared" si="3"/>
        <v>2.6013774104683203E-2</v>
      </c>
    </row>
    <row r="36" spans="1:7" ht="16">
      <c r="A36" s="134" t="s">
        <v>33</v>
      </c>
      <c r="B36" s="155">
        <v>80</v>
      </c>
      <c r="C36" s="116">
        <v>1</v>
      </c>
      <c r="D36" s="111">
        <f t="shared" si="0"/>
        <v>21706.666666666668</v>
      </c>
      <c r="E36" s="31">
        <f t="shared" si="1"/>
        <v>17743.691460055095</v>
      </c>
      <c r="F36" s="103">
        <f t="shared" si="2"/>
        <v>39450.358126721767</v>
      </c>
      <c r="G36" s="121">
        <f t="shared" si="3"/>
        <v>3.3319559228650146E-2</v>
      </c>
    </row>
    <row r="37" spans="1:7" ht="16">
      <c r="A37" s="134" t="s">
        <v>64</v>
      </c>
      <c r="B37" s="155">
        <v>94</v>
      </c>
      <c r="C37" s="116">
        <v>1</v>
      </c>
      <c r="D37" s="111">
        <f t="shared" si="0"/>
        <v>21706.666666666668</v>
      </c>
      <c r="E37" s="31">
        <f t="shared" si="1"/>
        <v>20848.837465564735</v>
      </c>
      <c r="F37" s="102">
        <f t="shared" si="2"/>
        <v>42555.504132231406</v>
      </c>
      <c r="G37" s="121">
        <f t="shared" si="3"/>
        <v>3.5942148760330583E-2</v>
      </c>
    </row>
    <row r="38" spans="1:7" ht="16">
      <c r="A38" s="134" t="s">
        <v>16</v>
      </c>
      <c r="B38" s="155">
        <v>46</v>
      </c>
      <c r="C38" s="116">
        <v>1</v>
      </c>
      <c r="D38" s="111">
        <f t="shared" si="0"/>
        <v>21706.666666666668</v>
      </c>
      <c r="E38" s="31">
        <f t="shared" si="1"/>
        <v>10202.622589531678</v>
      </c>
      <c r="F38" s="102">
        <f t="shared" si="2"/>
        <v>31909.289256198346</v>
      </c>
      <c r="G38" s="121">
        <f t="shared" si="3"/>
        <v>2.6950413223140502E-2</v>
      </c>
    </row>
    <row r="39" spans="1:7" ht="16">
      <c r="A39" s="134" t="s">
        <v>63</v>
      </c>
      <c r="B39" s="155">
        <v>47</v>
      </c>
      <c r="C39" s="116">
        <v>1</v>
      </c>
      <c r="D39" s="111">
        <f t="shared" si="0"/>
        <v>21706.666666666668</v>
      </c>
      <c r="E39" s="31">
        <f t="shared" si="1"/>
        <v>10424.418732782367</v>
      </c>
      <c r="F39" s="102">
        <f t="shared" si="2"/>
        <v>32131.085399449035</v>
      </c>
      <c r="G39" s="121">
        <f t="shared" si="3"/>
        <v>2.7137741046831962E-2</v>
      </c>
    </row>
    <row r="40" spans="1:7" ht="16">
      <c r="A40" s="134" t="s">
        <v>19</v>
      </c>
      <c r="B40" s="155">
        <v>33</v>
      </c>
      <c r="C40" s="116">
        <v>1</v>
      </c>
      <c r="D40" s="111">
        <f t="shared" si="0"/>
        <v>21706.666666666668</v>
      </c>
      <c r="E40" s="31">
        <f t="shared" si="1"/>
        <v>7319.2727272727261</v>
      </c>
      <c r="F40" s="102">
        <f t="shared" si="2"/>
        <v>29025.939393939392</v>
      </c>
      <c r="G40" s="121">
        <f t="shared" si="3"/>
        <v>2.4515151515151518E-2</v>
      </c>
    </row>
    <row r="41" spans="1:7" ht="16">
      <c r="A41" s="134" t="s">
        <v>29</v>
      </c>
      <c r="B41" s="156">
        <v>26</v>
      </c>
      <c r="C41" s="117">
        <v>1</v>
      </c>
      <c r="D41" s="111">
        <f t="shared" si="0"/>
        <v>21706.666666666668</v>
      </c>
      <c r="E41" s="31">
        <f t="shared" si="1"/>
        <v>5766.6997245179055</v>
      </c>
      <c r="F41" s="102">
        <f t="shared" si="2"/>
        <v>27473.366391184572</v>
      </c>
      <c r="G41" s="121">
        <f t="shared" si="3"/>
        <v>2.3203856749311299E-2</v>
      </c>
    </row>
    <row r="42" spans="1:7" ht="16">
      <c r="A42" s="138" t="s">
        <v>62</v>
      </c>
      <c r="B42" s="157">
        <v>21</v>
      </c>
      <c r="C42" s="118">
        <v>1</v>
      </c>
      <c r="D42" s="111">
        <f t="shared" si="0"/>
        <v>21706.666666666668</v>
      </c>
      <c r="E42" s="31">
        <f t="shared" si="1"/>
        <v>4657.719008264462</v>
      </c>
      <c r="F42" s="102">
        <f t="shared" si="2"/>
        <v>26364.385674931131</v>
      </c>
      <c r="G42" s="121">
        <f t="shared" si="3"/>
        <v>2.2267217630854E-2</v>
      </c>
    </row>
    <row r="43" spans="1:7" ht="16">
      <c r="A43" s="138" t="s">
        <v>32</v>
      </c>
      <c r="B43" s="157">
        <v>37</v>
      </c>
      <c r="C43" s="118">
        <v>1</v>
      </c>
      <c r="D43" s="111">
        <f t="shared" si="0"/>
        <v>21706.666666666668</v>
      </c>
      <c r="E43" s="31">
        <f t="shared" si="1"/>
        <v>8206.4573002754805</v>
      </c>
      <c r="F43" s="104">
        <f t="shared" si="2"/>
        <v>29913.123966942148</v>
      </c>
      <c r="G43" s="121">
        <f t="shared" si="3"/>
        <v>2.526446280991736E-2</v>
      </c>
    </row>
    <row r="44" spans="1:7" ht="16">
      <c r="A44" s="134" t="s">
        <v>58</v>
      </c>
      <c r="B44" s="156">
        <v>21</v>
      </c>
      <c r="C44" s="117">
        <v>1</v>
      </c>
      <c r="D44" s="111">
        <f t="shared" si="0"/>
        <v>21706.666666666668</v>
      </c>
      <c r="E44" s="31">
        <f t="shared" si="1"/>
        <v>4657.719008264462</v>
      </c>
      <c r="F44" s="102">
        <f t="shared" si="2"/>
        <v>26364.385674931131</v>
      </c>
      <c r="G44" s="121">
        <f t="shared" si="3"/>
        <v>2.2267217630854E-2</v>
      </c>
    </row>
    <row r="45" spans="1:7" ht="16">
      <c r="A45" s="134" t="s">
        <v>75</v>
      </c>
      <c r="B45" s="156">
        <v>15</v>
      </c>
      <c r="C45" s="117">
        <v>1</v>
      </c>
      <c r="D45" s="111">
        <f t="shared" si="0"/>
        <v>21706.666666666668</v>
      </c>
      <c r="E45" s="31">
        <f t="shared" si="1"/>
        <v>3326.9421487603299</v>
      </c>
      <c r="F45" s="102">
        <f t="shared" si="2"/>
        <v>25033.608815426996</v>
      </c>
      <c r="G45" s="121">
        <f t="shared" si="3"/>
        <v>2.1143250688705238E-2</v>
      </c>
    </row>
    <row r="46" spans="1:7" ht="16">
      <c r="A46" s="138" t="s">
        <v>76</v>
      </c>
      <c r="B46" s="158">
        <v>1</v>
      </c>
      <c r="C46" s="115">
        <v>1</v>
      </c>
      <c r="D46" s="111">
        <f t="shared" si="0"/>
        <v>21706.666666666668</v>
      </c>
      <c r="E46" s="31">
        <f t="shared" si="1"/>
        <v>221.79614325068869</v>
      </c>
      <c r="F46" s="102">
        <f t="shared" si="2"/>
        <v>21928.462809917357</v>
      </c>
      <c r="G46" s="121">
        <f t="shared" si="3"/>
        <v>1.8520661157024797E-2</v>
      </c>
    </row>
    <row r="47" spans="1:7" ht="16">
      <c r="A47" s="134" t="s">
        <v>77</v>
      </c>
      <c r="B47" s="158">
        <v>0</v>
      </c>
      <c r="C47" s="115">
        <v>0</v>
      </c>
      <c r="D47" s="111">
        <f t="shared" si="0"/>
        <v>0</v>
      </c>
      <c r="E47" s="31">
        <f t="shared" si="1"/>
        <v>0</v>
      </c>
      <c r="F47" s="102">
        <f t="shared" si="2"/>
        <v>0</v>
      </c>
      <c r="G47" s="121">
        <f t="shared" si="3"/>
        <v>0</v>
      </c>
    </row>
    <row r="48" spans="1:7" ht="16">
      <c r="A48" s="138" t="s">
        <v>65</v>
      </c>
      <c r="B48" s="158">
        <v>11</v>
      </c>
      <c r="C48" s="115">
        <v>1</v>
      </c>
      <c r="D48" s="111">
        <f t="shared" si="0"/>
        <v>21706.666666666668</v>
      </c>
      <c r="E48" s="31">
        <f t="shared" si="1"/>
        <v>2439.7575757575751</v>
      </c>
      <c r="F48" s="102">
        <f t="shared" si="2"/>
        <v>24146.424242424244</v>
      </c>
      <c r="G48" s="121">
        <f t="shared" si="3"/>
        <v>2.0393939393939398E-2</v>
      </c>
    </row>
    <row r="49" spans="1:7" ht="16">
      <c r="A49" s="139" t="s">
        <v>53</v>
      </c>
      <c r="B49" s="158">
        <v>13</v>
      </c>
      <c r="C49" s="115">
        <v>1</v>
      </c>
      <c r="D49" s="111">
        <f t="shared" si="0"/>
        <v>21706.666666666668</v>
      </c>
      <c r="E49" s="31">
        <f t="shared" si="1"/>
        <v>2883.3498622589527</v>
      </c>
      <c r="F49" s="102">
        <f t="shared" si="2"/>
        <v>24590.016528925622</v>
      </c>
      <c r="G49" s="121">
        <f t="shared" si="3"/>
        <v>2.0768595041322321E-2</v>
      </c>
    </row>
    <row r="50" spans="1:7" ht="16">
      <c r="A50" s="138" t="s">
        <v>56</v>
      </c>
      <c r="B50" s="158">
        <v>7</v>
      </c>
      <c r="C50" s="115">
        <v>1</v>
      </c>
      <c r="D50" s="111">
        <f t="shared" si="0"/>
        <v>21706.666666666668</v>
      </c>
      <c r="E50" s="31">
        <f t="shared" si="1"/>
        <v>1552.5730027548207</v>
      </c>
      <c r="F50" s="102">
        <f t="shared" si="2"/>
        <v>23259.239669421488</v>
      </c>
      <c r="G50" s="121">
        <f t="shared" si="3"/>
        <v>1.9644628099173559E-2</v>
      </c>
    </row>
    <row r="51" spans="1:7" ht="16">
      <c r="A51" s="134" t="s">
        <v>59</v>
      </c>
      <c r="B51" s="158">
        <v>0</v>
      </c>
      <c r="C51" s="118">
        <v>0</v>
      </c>
      <c r="D51" s="111">
        <f t="shared" si="0"/>
        <v>0</v>
      </c>
      <c r="E51" s="31">
        <f t="shared" si="1"/>
        <v>0</v>
      </c>
      <c r="F51" s="102">
        <f t="shared" si="2"/>
        <v>0</v>
      </c>
      <c r="G51" s="121">
        <f t="shared" si="3"/>
        <v>0</v>
      </c>
    </row>
    <row r="52" spans="1:7" ht="16">
      <c r="A52" s="138" t="s">
        <v>140</v>
      </c>
      <c r="B52" s="158">
        <v>1</v>
      </c>
      <c r="C52" s="118">
        <v>1</v>
      </c>
      <c r="D52" s="111">
        <f t="shared" si="0"/>
        <v>21706.666666666668</v>
      </c>
      <c r="E52" s="31">
        <f t="shared" si="1"/>
        <v>221.79614325068869</v>
      </c>
      <c r="F52" s="102">
        <f t="shared" si="2"/>
        <v>21928.462809917357</v>
      </c>
      <c r="G52" s="121">
        <f t="shared" si="3"/>
        <v>1.8520661157024797E-2</v>
      </c>
    </row>
    <row r="53" spans="1:7" ht="16">
      <c r="A53" s="124" t="s">
        <v>35</v>
      </c>
      <c r="B53" s="158">
        <v>2</v>
      </c>
      <c r="C53" s="117">
        <v>1</v>
      </c>
      <c r="D53" s="111">
        <f t="shared" si="0"/>
        <v>21706.666666666668</v>
      </c>
      <c r="E53" s="31">
        <f t="shared" si="1"/>
        <v>443.59228650137737</v>
      </c>
      <c r="F53" s="102">
        <f t="shared" si="2"/>
        <v>22150.258953168046</v>
      </c>
      <c r="G53" s="121">
        <f t="shared" si="3"/>
        <v>1.870798898071626E-2</v>
      </c>
    </row>
    <row r="54" spans="1:7" ht="17" thickBot="1">
      <c r="A54" s="140" t="s">
        <v>78</v>
      </c>
      <c r="B54" s="159">
        <v>4</v>
      </c>
      <c r="C54" s="125">
        <v>1</v>
      </c>
      <c r="D54" s="122">
        <f t="shared" si="0"/>
        <v>21706.666666666668</v>
      </c>
      <c r="E54" s="50">
        <f t="shared" si="1"/>
        <v>887.18457300275475</v>
      </c>
      <c r="F54" s="114">
        <f t="shared" si="2"/>
        <v>22593.851239669424</v>
      </c>
      <c r="G54" s="123">
        <f t="shared" si="3"/>
        <v>1.908264462809918E-2</v>
      </c>
    </row>
    <row r="55" spans="1:7" ht="17" thickBot="1">
      <c r="A55" s="61"/>
      <c r="B55" s="127"/>
      <c r="C55" s="60"/>
      <c r="D55" s="57"/>
      <c r="E55" s="57"/>
      <c r="F55" s="91"/>
    </row>
    <row r="56" spans="1:7" ht="17" thickBot="1">
      <c r="A56" s="54" t="s">
        <v>36</v>
      </c>
      <c r="B56" s="128">
        <f t="shared" ref="B56:G56" si="4">SUM(B17:B54)</f>
        <v>1815</v>
      </c>
      <c r="C56" s="119">
        <f t="shared" si="4"/>
        <v>36</v>
      </c>
      <c r="D56" s="31">
        <f t="shared" si="4"/>
        <v>781439.99999999977</v>
      </c>
      <c r="E56" s="31">
        <f t="shared" si="4"/>
        <v>402560.00000000006</v>
      </c>
      <c r="F56" s="120">
        <f t="shared" si="4"/>
        <v>1183999.9999999998</v>
      </c>
      <c r="G56" s="98">
        <f t="shared" si="4"/>
        <v>1.0000000000000002</v>
      </c>
    </row>
    <row r="57" spans="1:7" ht="16">
      <c r="A57" s="153" t="s">
        <v>90</v>
      </c>
      <c r="B57" s="60"/>
      <c r="C57" s="60"/>
      <c r="D57" s="31">
        <f>F11*D15</f>
        <v>781440</v>
      </c>
      <c r="E57" s="31">
        <f>F11*E15</f>
        <v>402559.99999999994</v>
      </c>
      <c r="F57" s="31"/>
      <c r="G57"/>
    </row>
    <row r="58" spans="1:7" ht="16">
      <c r="A58" s="61"/>
      <c r="B58" s="92"/>
      <c r="C58" s="92"/>
      <c r="D58" s="63"/>
      <c r="E58" s="109">
        <f>E56+D56</f>
        <v>1183999.9999999998</v>
      </c>
      <c r="F58" s="63"/>
      <c r="G58"/>
    </row>
    <row r="59" spans="1:7" ht="13.5" customHeight="1">
      <c r="D59" s="65"/>
      <c r="E59" s="65"/>
      <c r="F59" s="65"/>
      <c r="G59"/>
    </row>
    <row r="60" spans="1:7">
      <c r="A60" s="5" t="s">
        <v>95</v>
      </c>
      <c r="D60" s="68"/>
      <c r="E60" s="68"/>
      <c r="F60" s="68"/>
      <c r="G60"/>
    </row>
  </sheetData>
  <autoFilter ref="A16:G16" xr:uid="{00000000-0009-0000-0000-000007000000}">
    <sortState ref="A17:G53">
      <sortCondition descending="1" ref="F16"/>
    </sortState>
  </autoFilter>
  <mergeCells count="3">
    <mergeCell ref="A1:F3"/>
    <mergeCell ref="B8:F8"/>
    <mergeCell ref="D14:F14"/>
  </mergeCells>
  <pageMargins left="0.7" right="0.7" top="0.78740157499999996" bottom="0.78740157499999996" header="0.3" footer="0.3"/>
  <pageSetup paperSize="9" scale="60" orientation="portrait" horizontalDpi="300" verticalDpi="300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60"/>
  <sheetViews>
    <sheetView zoomScale="80" zoomScaleNormal="80" workbookViewId="0">
      <selection activeCell="A52" sqref="A52"/>
    </sheetView>
  </sheetViews>
  <sheetFormatPr baseColWidth="10" defaultColWidth="8.83203125" defaultRowHeight="15"/>
  <cols>
    <col min="1" max="1" width="45.5" customWidth="1"/>
    <col min="2" max="2" width="21.6640625" style="2" customWidth="1"/>
    <col min="3" max="3" width="10.33203125" style="2" customWidth="1"/>
    <col min="4" max="4" width="15" customWidth="1"/>
    <col min="5" max="5" width="18.83203125" customWidth="1"/>
    <col min="6" max="6" width="13.83203125" bestFit="1" customWidth="1"/>
    <col min="7" max="7" width="8.5" style="94" bestFit="1" customWidth="1"/>
    <col min="8" max="8" width="10.33203125" customWidth="1"/>
  </cols>
  <sheetData>
    <row r="1" spans="1:7" ht="18.75" customHeight="1">
      <c r="A1" s="266" t="s">
        <v>109</v>
      </c>
      <c r="B1" s="266"/>
      <c r="C1" s="266"/>
      <c r="D1" s="266"/>
      <c r="E1" s="266"/>
      <c r="F1" s="266"/>
    </row>
    <row r="2" spans="1:7" ht="18.75" customHeight="1">
      <c r="A2" s="266"/>
      <c r="B2" s="266"/>
      <c r="C2" s="266"/>
      <c r="D2" s="266"/>
      <c r="E2" s="266"/>
      <c r="F2" s="266"/>
    </row>
    <row r="3" spans="1:7" ht="18.75" customHeight="1">
      <c r="A3" s="266"/>
      <c r="B3" s="266"/>
      <c r="C3" s="266"/>
      <c r="D3" s="266"/>
      <c r="E3" s="266"/>
      <c r="F3" s="266"/>
    </row>
    <row r="4" spans="1:7" ht="16">
      <c r="A4" s="3" t="s">
        <v>103</v>
      </c>
    </row>
    <row r="5" spans="1:7" ht="16">
      <c r="A5" s="4" t="s">
        <v>71</v>
      </c>
    </row>
    <row r="6" spans="1:7" ht="16.5" customHeight="1" thickBot="1">
      <c r="A6" s="5"/>
    </row>
    <row r="7" spans="1:7" ht="17" thickBot="1">
      <c r="B7" s="267" t="s">
        <v>54</v>
      </c>
      <c r="C7" s="268"/>
      <c r="D7" s="268"/>
      <c r="E7" s="268"/>
      <c r="F7" s="269"/>
    </row>
    <row r="8" spans="1:7" ht="17" thickBot="1">
      <c r="B8" s="161" t="s">
        <v>100</v>
      </c>
      <c r="C8" s="162"/>
      <c r="D8" s="162"/>
      <c r="E8" s="162"/>
      <c r="F8" s="93">
        <v>885000</v>
      </c>
    </row>
    <row r="9" spans="1:7" ht="16" thickBot="1">
      <c r="B9" s="163"/>
    </row>
    <row r="10" spans="1:7" ht="16.5" customHeight="1" thickBot="1">
      <c r="B10" s="164" t="s">
        <v>101</v>
      </c>
      <c r="C10" s="105"/>
      <c r="D10" s="105"/>
      <c r="E10" s="106"/>
      <c r="F10" s="165">
        <f>SUM(F8,-F11)</f>
        <v>685000</v>
      </c>
    </row>
    <row r="11" spans="1:7" ht="16.5" customHeight="1" thickBot="1">
      <c r="A11" s="99"/>
      <c r="B11" s="164" t="s">
        <v>98</v>
      </c>
      <c r="C11" s="166"/>
      <c r="D11" s="166"/>
      <c r="E11" s="166"/>
      <c r="F11" s="165">
        <v>200000</v>
      </c>
    </row>
    <row r="12" spans="1:7" ht="16.5" customHeight="1">
      <c r="A12" s="99"/>
      <c r="B12" s="99"/>
      <c r="C12" s="99"/>
      <c r="D12" s="100"/>
    </row>
    <row r="13" spans="1:7" s="11" customFormat="1" ht="16.5" customHeight="1" thickBot="1">
      <c r="A13" s="9"/>
      <c r="B13" s="10"/>
      <c r="C13" s="10"/>
      <c r="E13" s="12"/>
      <c r="F13" s="13"/>
      <c r="G13" s="95"/>
    </row>
    <row r="14" spans="1:7" s="9" customFormat="1" ht="65.25" customHeight="1" thickBot="1">
      <c r="B14" s="169" t="s">
        <v>91</v>
      </c>
      <c r="C14" s="169" t="s">
        <v>68</v>
      </c>
      <c r="D14" s="261" t="s">
        <v>108</v>
      </c>
      <c r="E14" s="262"/>
      <c r="F14" s="263"/>
      <c r="G14" s="96"/>
    </row>
    <row r="15" spans="1:7" s="20" customFormat="1" ht="17" thickBot="1">
      <c r="B15" s="107"/>
      <c r="C15" s="169"/>
      <c r="D15" s="17">
        <v>0.66</v>
      </c>
      <c r="E15" s="18">
        <f>1-D15</f>
        <v>0.33999999999999997</v>
      </c>
      <c r="F15" s="108"/>
      <c r="G15" s="97"/>
    </row>
    <row r="16" spans="1:7" s="20" customFormat="1" ht="17" thickBot="1">
      <c r="A16" s="112" t="s">
        <v>66</v>
      </c>
      <c r="B16" s="107">
        <v>2014</v>
      </c>
      <c r="C16" s="169"/>
      <c r="D16" s="17" t="s">
        <v>4</v>
      </c>
      <c r="E16" s="18" t="s">
        <v>5</v>
      </c>
      <c r="F16" s="108" t="s">
        <v>6</v>
      </c>
      <c r="G16" s="113" t="s">
        <v>67</v>
      </c>
    </row>
    <row r="17" spans="1:7" ht="16">
      <c r="A17" s="135" t="s">
        <v>7</v>
      </c>
      <c r="B17" s="154">
        <v>203</v>
      </c>
      <c r="C17" s="118">
        <v>1</v>
      </c>
      <c r="D17" s="111">
        <f t="shared" ref="D17:D54" si="0">$F$10*$D$15/$C$56*C17</f>
        <v>12558.333333333334</v>
      </c>
      <c r="E17" s="31">
        <f t="shared" ref="E17:E54" si="1">$F$10*$E$15*B17/$B$56</f>
        <v>26048.870523415975</v>
      </c>
      <c r="F17" s="102">
        <f t="shared" ref="F17:F54" si="2">(D17+E17)</f>
        <v>38607.203856749307</v>
      </c>
      <c r="G17" s="121">
        <f>F17/$F$56</f>
        <v>5.6360881542699706E-2</v>
      </c>
    </row>
    <row r="18" spans="1:7" ht="16.5" customHeight="1">
      <c r="A18" s="134" t="s">
        <v>11</v>
      </c>
      <c r="B18" s="155">
        <v>102</v>
      </c>
      <c r="C18" s="116">
        <v>1</v>
      </c>
      <c r="D18" s="111">
        <f t="shared" si="0"/>
        <v>12558.333333333334</v>
      </c>
      <c r="E18" s="31">
        <f t="shared" si="1"/>
        <v>13088.595041322313</v>
      </c>
      <c r="F18" s="102">
        <f t="shared" si="2"/>
        <v>25646.928374655647</v>
      </c>
      <c r="G18" s="121">
        <f>F18/$F$56</f>
        <v>3.7440771349862255E-2</v>
      </c>
    </row>
    <row r="19" spans="1:7" ht="16">
      <c r="A19" s="136" t="s">
        <v>12</v>
      </c>
      <c r="B19" s="155">
        <v>79</v>
      </c>
      <c r="C19" s="116">
        <v>1</v>
      </c>
      <c r="D19" s="111">
        <f t="shared" si="0"/>
        <v>12558.333333333334</v>
      </c>
      <c r="E19" s="31">
        <f t="shared" si="1"/>
        <v>10137.245179063359</v>
      </c>
      <c r="F19" s="102">
        <f t="shared" si="2"/>
        <v>22695.578512396693</v>
      </c>
      <c r="G19" s="121">
        <f>F19/$F$56</f>
        <v>3.3132231404958669E-2</v>
      </c>
    </row>
    <row r="20" spans="1:7" ht="16">
      <c r="A20" s="136" t="s">
        <v>57</v>
      </c>
      <c r="B20" s="155">
        <v>132</v>
      </c>
      <c r="C20" s="116">
        <v>1</v>
      </c>
      <c r="D20" s="111">
        <f t="shared" si="0"/>
        <v>12558.333333333334</v>
      </c>
      <c r="E20" s="31">
        <f t="shared" si="1"/>
        <v>16938.181818181816</v>
      </c>
      <c r="F20" s="102">
        <f t="shared" si="2"/>
        <v>29496.515151515152</v>
      </c>
      <c r="G20" s="121">
        <f>F20/$F$56</f>
        <v>4.3060606060606056E-2</v>
      </c>
    </row>
    <row r="21" spans="1:7" ht="16">
      <c r="A21" s="134" t="s">
        <v>8</v>
      </c>
      <c r="B21" s="155">
        <v>85</v>
      </c>
      <c r="C21" s="116">
        <v>1</v>
      </c>
      <c r="D21" s="111">
        <f t="shared" si="0"/>
        <v>12558.333333333334</v>
      </c>
      <c r="E21" s="31">
        <f t="shared" si="1"/>
        <v>10907.16253443526</v>
      </c>
      <c r="F21" s="102">
        <f t="shared" si="2"/>
        <v>23465.495867768594</v>
      </c>
      <c r="G21" s="121">
        <f>F21/$F$56</f>
        <v>3.4256198347107428E-2</v>
      </c>
    </row>
    <row r="22" spans="1:7" ht="16.5" customHeight="1">
      <c r="A22" s="134" t="s">
        <v>69</v>
      </c>
      <c r="B22" s="155">
        <v>87</v>
      </c>
      <c r="C22" s="116">
        <v>1</v>
      </c>
      <c r="D22" s="111">
        <f t="shared" si="0"/>
        <v>12558.333333333334</v>
      </c>
      <c r="E22" s="31">
        <f t="shared" si="1"/>
        <v>11163.80165289256</v>
      </c>
      <c r="F22" s="102">
        <f t="shared" si="2"/>
        <v>23722.134986225894</v>
      </c>
      <c r="G22" s="121">
        <f t="shared" ref="G22:G54" si="3">F22/$F$56</f>
        <v>3.4630853994490347E-2</v>
      </c>
    </row>
    <row r="23" spans="1:7" ht="16.5" customHeight="1">
      <c r="A23" s="134" t="s">
        <v>13</v>
      </c>
      <c r="B23" s="155">
        <v>55</v>
      </c>
      <c r="C23" s="116">
        <v>1</v>
      </c>
      <c r="D23" s="111">
        <f t="shared" si="0"/>
        <v>12558.333333333334</v>
      </c>
      <c r="E23" s="31">
        <f t="shared" si="1"/>
        <v>7057.5757575757561</v>
      </c>
      <c r="F23" s="102">
        <f t="shared" si="2"/>
        <v>19615.909090909088</v>
      </c>
      <c r="G23" s="121">
        <f t="shared" si="3"/>
        <v>2.8636363636363626E-2</v>
      </c>
    </row>
    <row r="24" spans="1:7" ht="16">
      <c r="A24" s="134" t="s">
        <v>60</v>
      </c>
      <c r="B24" s="155">
        <v>42</v>
      </c>
      <c r="C24" s="116">
        <v>1</v>
      </c>
      <c r="D24" s="111">
        <f t="shared" si="0"/>
        <v>12558.333333333334</v>
      </c>
      <c r="E24" s="31">
        <f t="shared" si="1"/>
        <v>5389.4214876033047</v>
      </c>
      <c r="F24" s="102">
        <f t="shared" si="2"/>
        <v>17947.75482093664</v>
      </c>
      <c r="G24" s="121">
        <f t="shared" si="3"/>
        <v>2.6201101928374652E-2</v>
      </c>
    </row>
    <row r="25" spans="1:7" ht="16">
      <c r="A25" s="136" t="s">
        <v>10</v>
      </c>
      <c r="B25" s="155">
        <v>48</v>
      </c>
      <c r="C25" s="116">
        <v>1</v>
      </c>
      <c r="D25" s="111">
        <f t="shared" si="0"/>
        <v>12558.333333333334</v>
      </c>
      <c r="E25" s="31">
        <f t="shared" si="1"/>
        <v>6159.3388429752058</v>
      </c>
      <c r="F25" s="102">
        <f t="shared" si="2"/>
        <v>18717.672176308541</v>
      </c>
      <c r="G25" s="121">
        <f t="shared" si="3"/>
        <v>2.7325068870523411E-2</v>
      </c>
    </row>
    <row r="26" spans="1:7" ht="16">
      <c r="A26" s="134" t="s">
        <v>21</v>
      </c>
      <c r="B26" s="155">
        <v>43</v>
      </c>
      <c r="C26" s="116">
        <v>1</v>
      </c>
      <c r="D26" s="111">
        <f t="shared" si="0"/>
        <v>12558.333333333334</v>
      </c>
      <c r="E26" s="31">
        <f t="shared" si="1"/>
        <v>5517.7410468319549</v>
      </c>
      <c r="F26" s="102">
        <f t="shared" si="2"/>
        <v>18076.07438016529</v>
      </c>
      <c r="G26" s="121">
        <f t="shared" si="3"/>
        <v>2.6388429752066112E-2</v>
      </c>
    </row>
    <row r="27" spans="1:7" ht="16">
      <c r="A27" s="134" t="s">
        <v>28</v>
      </c>
      <c r="B27" s="155">
        <v>38</v>
      </c>
      <c r="C27" s="116">
        <v>1</v>
      </c>
      <c r="D27" s="111">
        <f t="shared" si="0"/>
        <v>12558.333333333334</v>
      </c>
      <c r="E27" s="31">
        <f t="shared" si="1"/>
        <v>4876.143250688704</v>
      </c>
      <c r="F27" s="102">
        <f t="shared" si="2"/>
        <v>17434.476584022039</v>
      </c>
      <c r="G27" s="121">
        <f t="shared" si="3"/>
        <v>2.5451790633608813E-2</v>
      </c>
    </row>
    <row r="28" spans="1:7" ht="16">
      <c r="A28" s="136" t="s">
        <v>61</v>
      </c>
      <c r="B28" s="155">
        <v>63</v>
      </c>
      <c r="C28" s="116">
        <v>1</v>
      </c>
      <c r="D28" s="111">
        <f t="shared" si="0"/>
        <v>12558.333333333334</v>
      </c>
      <c r="E28" s="31">
        <f t="shared" si="1"/>
        <v>8084.1322314049576</v>
      </c>
      <c r="F28" s="102">
        <f t="shared" si="2"/>
        <v>20642.46556473829</v>
      </c>
      <c r="G28" s="121">
        <f t="shared" si="3"/>
        <v>3.0134986225895308E-2</v>
      </c>
    </row>
    <row r="29" spans="1:7" ht="16">
      <c r="A29" s="136" t="s">
        <v>24</v>
      </c>
      <c r="B29" s="155">
        <v>84</v>
      </c>
      <c r="C29" s="116">
        <v>1</v>
      </c>
      <c r="D29" s="111">
        <f t="shared" si="0"/>
        <v>12558.333333333334</v>
      </c>
      <c r="E29" s="31">
        <f t="shared" si="1"/>
        <v>10778.842975206609</v>
      </c>
      <c r="F29" s="102">
        <f t="shared" si="2"/>
        <v>23337.176308539943</v>
      </c>
      <c r="G29" s="121">
        <f t="shared" si="3"/>
        <v>3.4068870523415971E-2</v>
      </c>
    </row>
    <row r="30" spans="1:7" ht="16">
      <c r="A30" s="134" t="s">
        <v>20</v>
      </c>
      <c r="B30" s="155">
        <v>62</v>
      </c>
      <c r="C30" s="116">
        <v>1</v>
      </c>
      <c r="D30" s="111">
        <f t="shared" si="0"/>
        <v>12558.333333333334</v>
      </c>
      <c r="E30" s="31">
        <f t="shared" si="1"/>
        <v>7955.8126721763074</v>
      </c>
      <c r="F30" s="102">
        <f t="shared" si="2"/>
        <v>20514.14600550964</v>
      </c>
      <c r="G30" s="121">
        <f t="shared" si="3"/>
        <v>2.9947658402203849E-2</v>
      </c>
    </row>
    <row r="31" spans="1:7" ht="16">
      <c r="A31" s="134" t="s">
        <v>25</v>
      </c>
      <c r="B31" s="155">
        <v>42</v>
      </c>
      <c r="C31" s="116">
        <v>1</v>
      </c>
      <c r="D31" s="111">
        <f t="shared" si="0"/>
        <v>12558.333333333334</v>
      </c>
      <c r="E31" s="31">
        <f t="shared" si="1"/>
        <v>5389.4214876033047</v>
      </c>
      <c r="F31" s="102">
        <f t="shared" si="2"/>
        <v>17947.75482093664</v>
      </c>
      <c r="G31" s="121">
        <f t="shared" si="3"/>
        <v>2.6201101928374652E-2</v>
      </c>
    </row>
    <row r="32" spans="1:7" ht="16">
      <c r="A32" s="136" t="s">
        <v>74</v>
      </c>
      <c r="B32" s="155">
        <v>65</v>
      </c>
      <c r="C32" s="116">
        <v>1</v>
      </c>
      <c r="D32" s="111">
        <f t="shared" si="0"/>
        <v>12558.333333333334</v>
      </c>
      <c r="E32" s="31">
        <f t="shared" si="1"/>
        <v>8340.7713498622579</v>
      </c>
      <c r="F32" s="102">
        <f t="shared" si="2"/>
        <v>20899.10468319559</v>
      </c>
      <c r="G32" s="121">
        <f t="shared" si="3"/>
        <v>3.0509641873278228E-2</v>
      </c>
    </row>
    <row r="33" spans="1:7" ht="16">
      <c r="A33" s="134" t="s">
        <v>73</v>
      </c>
      <c r="B33" s="155">
        <v>39</v>
      </c>
      <c r="C33" s="116">
        <v>1</v>
      </c>
      <c r="D33" s="111">
        <f t="shared" si="0"/>
        <v>12558.333333333334</v>
      </c>
      <c r="E33" s="31">
        <f t="shared" si="1"/>
        <v>5004.4628099173542</v>
      </c>
      <c r="F33" s="102">
        <f t="shared" si="2"/>
        <v>17562.796143250689</v>
      </c>
      <c r="G33" s="121">
        <f t="shared" si="3"/>
        <v>2.5639118457300273E-2</v>
      </c>
    </row>
    <row r="34" spans="1:7" ht="16">
      <c r="A34" s="134" t="s">
        <v>23</v>
      </c>
      <c r="B34" s="155">
        <v>46</v>
      </c>
      <c r="C34" s="116">
        <v>1</v>
      </c>
      <c r="D34" s="111">
        <f t="shared" si="0"/>
        <v>12558.333333333334</v>
      </c>
      <c r="E34" s="31">
        <f t="shared" si="1"/>
        <v>5902.6997245179055</v>
      </c>
      <c r="F34" s="102">
        <f t="shared" si="2"/>
        <v>18461.03305785124</v>
      </c>
      <c r="G34" s="121">
        <f t="shared" si="3"/>
        <v>2.6950413223140492E-2</v>
      </c>
    </row>
    <row r="35" spans="1:7" ht="16">
      <c r="A35" s="137" t="s">
        <v>27</v>
      </c>
      <c r="B35" s="155">
        <v>41</v>
      </c>
      <c r="C35" s="116">
        <v>1</v>
      </c>
      <c r="D35" s="111">
        <f t="shared" si="0"/>
        <v>12558.333333333334</v>
      </c>
      <c r="E35" s="31">
        <f t="shared" si="1"/>
        <v>5261.1019283746546</v>
      </c>
      <c r="F35" s="102">
        <f t="shared" si="2"/>
        <v>17819.435261707989</v>
      </c>
      <c r="G35" s="121">
        <f t="shared" si="3"/>
        <v>2.6013774104683193E-2</v>
      </c>
    </row>
    <row r="36" spans="1:7" ht="16">
      <c r="A36" s="134" t="s">
        <v>33</v>
      </c>
      <c r="B36" s="155">
        <v>80</v>
      </c>
      <c r="C36" s="116">
        <v>1</v>
      </c>
      <c r="D36" s="111">
        <f t="shared" si="0"/>
        <v>12558.333333333334</v>
      </c>
      <c r="E36" s="31">
        <f t="shared" si="1"/>
        <v>10265.564738292009</v>
      </c>
      <c r="F36" s="103">
        <f t="shared" si="2"/>
        <v>22823.898071625343</v>
      </c>
      <c r="G36" s="121">
        <f t="shared" si="3"/>
        <v>3.3319559228650132E-2</v>
      </c>
    </row>
    <row r="37" spans="1:7" ht="16">
      <c r="A37" s="134" t="s">
        <v>64</v>
      </c>
      <c r="B37" s="155">
        <v>94</v>
      </c>
      <c r="C37" s="116">
        <v>1</v>
      </c>
      <c r="D37" s="111">
        <f t="shared" si="0"/>
        <v>12558.333333333334</v>
      </c>
      <c r="E37" s="31">
        <f t="shared" si="1"/>
        <v>12062.038567493111</v>
      </c>
      <c r="F37" s="102">
        <f t="shared" si="2"/>
        <v>24620.371900826445</v>
      </c>
      <c r="G37" s="121">
        <f t="shared" si="3"/>
        <v>3.5942148760330569E-2</v>
      </c>
    </row>
    <row r="38" spans="1:7" ht="16">
      <c r="A38" s="134" t="s">
        <v>16</v>
      </c>
      <c r="B38" s="155">
        <v>46</v>
      </c>
      <c r="C38" s="116">
        <v>1</v>
      </c>
      <c r="D38" s="111">
        <f t="shared" si="0"/>
        <v>12558.333333333334</v>
      </c>
      <c r="E38" s="31">
        <f t="shared" si="1"/>
        <v>5902.6997245179055</v>
      </c>
      <c r="F38" s="102">
        <f t="shared" si="2"/>
        <v>18461.03305785124</v>
      </c>
      <c r="G38" s="121">
        <f t="shared" si="3"/>
        <v>2.6950413223140492E-2</v>
      </c>
    </row>
    <row r="39" spans="1:7" ht="16">
      <c r="A39" s="134" t="s">
        <v>63</v>
      </c>
      <c r="B39" s="155">
        <v>47</v>
      </c>
      <c r="C39" s="116">
        <v>1</v>
      </c>
      <c r="D39" s="111">
        <f t="shared" si="0"/>
        <v>12558.333333333334</v>
      </c>
      <c r="E39" s="31">
        <f t="shared" si="1"/>
        <v>6031.0192837465556</v>
      </c>
      <c r="F39" s="102">
        <f t="shared" si="2"/>
        <v>18589.35261707989</v>
      </c>
      <c r="G39" s="121">
        <f t="shared" si="3"/>
        <v>2.7137741046831951E-2</v>
      </c>
    </row>
    <row r="40" spans="1:7" ht="16">
      <c r="A40" s="134" t="s">
        <v>19</v>
      </c>
      <c r="B40" s="155">
        <v>33</v>
      </c>
      <c r="C40" s="116">
        <v>1</v>
      </c>
      <c r="D40" s="111">
        <f t="shared" si="0"/>
        <v>12558.333333333334</v>
      </c>
      <c r="E40" s="31">
        <f t="shared" si="1"/>
        <v>4234.545454545454</v>
      </c>
      <c r="F40" s="102">
        <f t="shared" si="2"/>
        <v>16792.878787878788</v>
      </c>
      <c r="G40" s="121">
        <f t="shared" si="3"/>
        <v>2.4515151515151511E-2</v>
      </c>
    </row>
    <row r="41" spans="1:7" ht="16">
      <c r="A41" s="134" t="s">
        <v>29</v>
      </c>
      <c r="B41" s="156">
        <v>26</v>
      </c>
      <c r="C41" s="117">
        <v>1</v>
      </c>
      <c r="D41" s="111">
        <f t="shared" si="0"/>
        <v>12558.333333333334</v>
      </c>
      <c r="E41" s="31">
        <f t="shared" si="1"/>
        <v>3336.3085399449033</v>
      </c>
      <c r="F41" s="102">
        <f t="shared" si="2"/>
        <v>15894.641873278237</v>
      </c>
      <c r="G41" s="121">
        <f t="shared" si="3"/>
        <v>2.3203856749311292E-2</v>
      </c>
    </row>
    <row r="42" spans="1:7" ht="16">
      <c r="A42" s="138" t="s">
        <v>62</v>
      </c>
      <c r="B42" s="157">
        <v>21</v>
      </c>
      <c r="C42" s="118">
        <v>1</v>
      </c>
      <c r="D42" s="111">
        <f t="shared" si="0"/>
        <v>12558.333333333334</v>
      </c>
      <c r="E42" s="31">
        <f t="shared" si="1"/>
        <v>2694.7107438016524</v>
      </c>
      <c r="F42" s="102">
        <f t="shared" si="2"/>
        <v>15253.044077134986</v>
      </c>
      <c r="G42" s="121">
        <f t="shared" si="3"/>
        <v>2.2267217630853989E-2</v>
      </c>
    </row>
    <row r="43" spans="1:7" ht="16">
      <c r="A43" s="138" t="s">
        <v>32</v>
      </c>
      <c r="B43" s="157">
        <v>37</v>
      </c>
      <c r="C43" s="118">
        <v>1</v>
      </c>
      <c r="D43" s="111">
        <f t="shared" si="0"/>
        <v>12558.333333333334</v>
      </c>
      <c r="E43" s="31">
        <f t="shared" si="1"/>
        <v>4747.8236914600539</v>
      </c>
      <c r="F43" s="104">
        <f t="shared" si="2"/>
        <v>17306.157024793389</v>
      </c>
      <c r="G43" s="121">
        <f t="shared" si="3"/>
        <v>2.526446280991735E-2</v>
      </c>
    </row>
    <row r="44" spans="1:7" ht="16">
      <c r="A44" s="134" t="s">
        <v>58</v>
      </c>
      <c r="B44" s="156">
        <v>21</v>
      </c>
      <c r="C44" s="117">
        <v>1</v>
      </c>
      <c r="D44" s="111">
        <f t="shared" si="0"/>
        <v>12558.333333333334</v>
      </c>
      <c r="E44" s="31">
        <f t="shared" si="1"/>
        <v>2694.7107438016524</v>
      </c>
      <c r="F44" s="102">
        <f t="shared" si="2"/>
        <v>15253.044077134986</v>
      </c>
      <c r="G44" s="121">
        <f t="shared" si="3"/>
        <v>2.2267217630853989E-2</v>
      </c>
    </row>
    <row r="45" spans="1:7" ht="16">
      <c r="A45" s="134" t="s">
        <v>75</v>
      </c>
      <c r="B45" s="156">
        <v>15</v>
      </c>
      <c r="C45" s="117">
        <v>1</v>
      </c>
      <c r="D45" s="111">
        <f t="shared" si="0"/>
        <v>12558.333333333334</v>
      </c>
      <c r="E45" s="31">
        <f t="shared" si="1"/>
        <v>1924.7933884297518</v>
      </c>
      <c r="F45" s="102">
        <f t="shared" si="2"/>
        <v>14483.126721763085</v>
      </c>
      <c r="G45" s="121">
        <f t="shared" si="3"/>
        <v>2.1143250688705231E-2</v>
      </c>
    </row>
    <row r="46" spans="1:7" ht="16">
      <c r="A46" s="138" t="s">
        <v>76</v>
      </c>
      <c r="B46" s="158">
        <v>1</v>
      </c>
      <c r="C46" s="115">
        <v>1</v>
      </c>
      <c r="D46" s="111">
        <f t="shared" si="0"/>
        <v>12558.333333333334</v>
      </c>
      <c r="E46" s="31">
        <f t="shared" si="1"/>
        <v>128.31955922865012</v>
      </c>
      <c r="F46" s="102">
        <f t="shared" si="2"/>
        <v>12686.652892561984</v>
      </c>
      <c r="G46" s="121">
        <f t="shared" si="3"/>
        <v>1.852066115702479E-2</v>
      </c>
    </row>
    <row r="47" spans="1:7" ht="16">
      <c r="A47" s="134" t="s">
        <v>77</v>
      </c>
      <c r="B47" s="158">
        <v>0</v>
      </c>
      <c r="C47" s="115">
        <v>0</v>
      </c>
      <c r="D47" s="111">
        <f t="shared" si="0"/>
        <v>0</v>
      </c>
      <c r="E47" s="31">
        <f t="shared" si="1"/>
        <v>0</v>
      </c>
      <c r="F47" s="102">
        <f t="shared" si="2"/>
        <v>0</v>
      </c>
      <c r="G47" s="121">
        <f t="shared" si="3"/>
        <v>0</v>
      </c>
    </row>
    <row r="48" spans="1:7" ht="16">
      <c r="A48" s="138" t="s">
        <v>65</v>
      </c>
      <c r="B48" s="158">
        <v>11</v>
      </c>
      <c r="C48" s="115">
        <v>1</v>
      </c>
      <c r="D48" s="111">
        <f t="shared" si="0"/>
        <v>12558.333333333334</v>
      </c>
      <c r="E48" s="31">
        <f t="shared" si="1"/>
        <v>1411.5151515151513</v>
      </c>
      <c r="F48" s="102">
        <f t="shared" si="2"/>
        <v>13969.848484848486</v>
      </c>
      <c r="G48" s="121">
        <f t="shared" si="3"/>
        <v>2.0393939393939391E-2</v>
      </c>
    </row>
    <row r="49" spans="1:7" ht="16">
      <c r="A49" s="139" t="s">
        <v>53</v>
      </c>
      <c r="B49" s="158">
        <v>13</v>
      </c>
      <c r="C49" s="115">
        <v>1</v>
      </c>
      <c r="D49" s="111">
        <f t="shared" si="0"/>
        <v>12558.333333333334</v>
      </c>
      <c r="E49" s="31">
        <f t="shared" si="1"/>
        <v>1668.1542699724516</v>
      </c>
      <c r="F49" s="102">
        <f t="shared" si="2"/>
        <v>14226.487603305786</v>
      </c>
      <c r="G49" s="121">
        <f t="shared" si="3"/>
        <v>2.0768595041322311E-2</v>
      </c>
    </row>
    <row r="50" spans="1:7" ht="16">
      <c r="A50" s="138" t="s">
        <v>56</v>
      </c>
      <c r="B50" s="158">
        <v>7</v>
      </c>
      <c r="C50" s="115">
        <v>1</v>
      </c>
      <c r="D50" s="111">
        <f t="shared" si="0"/>
        <v>12558.333333333334</v>
      </c>
      <c r="E50" s="31">
        <f t="shared" si="1"/>
        <v>898.23691460055079</v>
      </c>
      <c r="F50" s="102">
        <f t="shared" si="2"/>
        <v>13456.570247933885</v>
      </c>
      <c r="G50" s="121">
        <f t="shared" si="3"/>
        <v>1.9644628099173552E-2</v>
      </c>
    </row>
    <row r="51" spans="1:7" ht="16">
      <c r="A51" s="134" t="s">
        <v>59</v>
      </c>
      <c r="B51" s="158">
        <v>0</v>
      </c>
      <c r="C51" s="118">
        <v>0</v>
      </c>
      <c r="D51" s="111">
        <f t="shared" si="0"/>
        <v>0</v>
      </c>
      <c r="E51" s="31">
        <f t="shared" si="1"/>
        <v>0</v>
      </c>
      <c r="F51" s="102">
        <f t="shared" si="2"/>
        <v>0</v>
      </c>
      <c r="G51" s="121">
        <f t="shared" si="3"/>
        <v>0</v>
      </c>
    </row>
    <row r="52" spans="1:7" ht="16">
      <c r="A52" s="138" t="s">
        <v>140</v>
      </c>
      <c r="B52" s="158">
        <v>1</v>
      </c>
      <c r="C52" s="118">
        <v>1</v>
      </c>
      <c r="D52" s="111">
        <f t="shared" si="0"/>
        <v>12558.333333333334</v>
      </c>
      <c r="E52" s="31">
        <f t="shared" si="1"/>
        <v>128.31955922865012</v>
      </c>
      <c r="F52" s="102">
        <f t="shared" si="2"/>
        <v>12686.652892561984</v>
      </c>
      <c r="G52" s="121">
        <f t="shared" si="3"/>
        <v>1.852066115702479E-2</v>
      </c>
    </row>
    <row r="53" spans="1:7" ht="16">
      <c r="A53" s="124" t="s">
        <v>35</v>
      </c>
      <c r="B53" s="158">
        <v>2</v>
      </c>
      <c r="C53" s="117">
        <v>1</v>
      </c>
      <c r="D53" s="111">
        <f t="shared" si="0"/>
        <v>12558.333333333334</v>
      </c>
      <c r="E53" s="31">
        <f t="shared" si="1"/>
        <v>256.63911845730024</v>
      </c>
      <c r="F53" s="102">
        <f t="shared" si="2"/>
        <v>12814.972451790634</v>
      </c>
      <c r="G53" s="121">
        <f t="shared" si="3"/>
        <v>1.870798898071625E-2</v>
      </c>
    </row>
    <row r="54" spans="1:7" ht="17" thickBot="1">
      <c r="A54" s="140" t="s">
        <v>78</v>
      </c>
      <c r="B54" s="159">
        <v>4</v>
      </c>
      <c r="C54" s="125">
        <v>1</v>
      </c>
      <c r="D54" s="122">
        <f t="shared" si="0"/>
        <v>12558.333333333334</v>
      </c>
      <c r="E54" s="50">
        <f t="shared" si="1"/>
        <v>513.27823691460048</v>
      </c>
      <c r="F54" s="114">
        <f t="shared" si="2"/>
        <v>13071.611570247935</v>
      </c>
      <c r="G54" s="123">
        <f t="shared" si="3"/>
        <v>1.9082644628099173E-2</v>
      </c>
    </row>
    <row r="55" spans="1:7" ht="17" thickBot="1">
      <c r="A55" s="61"/>
      <c r="B55" s="127"/>
      <c r="C55" s="60"/>
      <c r="D55" s="57"/>
      <c r="E55" s="57"/>
      <c r="F55" s="91"/>
    </row>
    <row r="56" spans="1:7" ht="17" thickBot="1">
      <c r="A56" s="54" t="s">
        <v>36</v>
      </c>
      <c r="B56" s="128">
        <f t="shared" ref="B56:G56" si="4">SUM(B17:B54)</f>
        <v>1815</v>
      </c>
      <c r="C56" s="119">
        <f t="shared" si="4"/>
        <v>36</v>
      </c>
      <c r="D56" s="31">
        <f t="shared" si="4"/>
        <v>452099.99999999977</v>
      </c>
      <c r="E56" s="31">
        <f t="shared" si="4"/>
        <v>232899.99999999983</v>
      </c>
      <c r="F56" s="120">
        <f t="shared" si="4"/>
        <v>685000.00000000012</v>
      </c>
      <c r="G56" s="98">
        <f t="shared" si="4"/>
        <v>1</v>
      </c>
    </row>
    <row r="57" spans="1:7" ht="16">
      <c r="A57" s="153" t="s">
        <v>90</v>
      </c>
      <c r="B57" s="60"/>
      <c r="C57" s="60"/>
      <c r="D57" s="31">
        <f>F10*D15</f>
        <v>452100</v>
      </c>
      <c r="E57" s="31">
        <f>F10*E15</f>
        <v>232899.99999999997</v>
      </c>
      <c r="F57" s="31"/>
      <c r="G57"/>
    </row>
    <row r="58" spans="1:7" ht="16">
      <c r="A58" s="61"/>
      <c r="B58" s="92"/>
      <c r="C58" s="92"/>
      <c r="D58" s="63"/>
      <c r="E58" s="109">
        <f>E56+D56</f>
        <v>684999.99999999953</v>
      </c>
      <c r="F58" s="63"/>
      <c r="G58"/>
    </row>
    <row r="59" spans="1:7" ht="13.5" customHeight="1">
      <c r="D59" s="65"/>
      <c r="E59" s="65"/>
      <c r="F59" s="65"/>
      <c r="G59"/>
    </row>
    <row r="60" spans="1:7">
      <c r="A60" s="5" t="s">
        <v>102</v>
      </c>
      <c r="D60" s="68"/>
      <c r="E60" s="68"/>
      <c r="F60" s="68"/>
      <c r="G60"/>
    </row>
  </sheetData>
  <autoFilter ref="A16:G16" xr:uid="{00000000-0009-0000-0000-000008000000}">
    <sortState ref="A17:G53">
      <sortCondition descending="1" ref="F16"/>
    </sortState>
  </autoFilter>
  <mergeCells count="3">
    <mergeCell ref="A1:F3"/>
    <mergeCell ref="B7:F7"/>
    <mergeCell ref="D14:F14"/>
  </mergeCells>
  <pageMargins left="0.7" right="0.7" top="0.78740157499999996" bottom="0.78740157499999996" header="0.3" footer="0.3"/>
  <pageSetup paperSize="9" scale="60" orientation="portrait" horizontalDpi="300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Listy</vt:lpstr>
      </vt:variant>
      <vt:variant>
        <vt:i4>18</vt:i4>
      </vt:variant>
    </vt:vector>
  </HeadingPairs>
  <TitlesOfParts>
    <vt:vector size="18" baseType="lpstr">
      <vt:lpstr>7-12_2012</vt:lpstr>
      <vt:lpstr>1-6_2012</vt:lpstr>
      <vt:lpstr>Aktuální stav čerpání</vt:lpstr>
      <vt:lpstr>Společné výdaje</vt:lpstr>
      <vt:lpstr>1.tranše</vt:lpstr>
      <vt:lpstr>2.tranše</vt:lpstr>
      <vt:lpstr>3.tranše</vt:lpstr>
      <vt:lpstr>4.tranše</vt:lpstr>
      <vt:lpstr>5.tranše</vt:lpstr>
      <vt:lpstr>6.tranše</vt:lpstr>
      <vt:lpstr>7.tranše</vt:lpstr>
      <vt:lpstr>8.tranše</vt:lpstr>
      <vt:lpstr>9.tranše</vt:lpstr>
      <vt:lpstr>10.tranše</vt:lpstr>
      <vt:lpstr>11.tranše</vt:lpstr>
      <vt:lpstr>12.tranše</vt:lpstr>
      <vt:lpstr>Odměny repre 2017</vt:lpstr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Libor Kubrycht</dc:creator>
  <cp:lastModifiedBy>Josef Johánek</cp:lastModifiedBy>
  <cp:lastPrinted>2017-12-06T14:02:14Z</cp:lastPrinted>
  <dcterms:created xsi:type="dcterms:W3CDTF">2012-06-18T08:51:52Z</dcterms:created>
  <dcterms:modified xsi:type="dcterms:W3CDTF">2018-12-10T09:39:01Z</dcterms:modified>
</cp:coreProperties>
</file>